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AJUSTE\Permissionárias de Distribuição\2022\09- SETEMBRO\11  COOPERMILA - Érika\Estrutura\"/>
    </mc:Choice>
  </mc:AlternateContent>
  <xr:revisionPtr revIDLastSave="0" documentId="13_ncr:1_{C1F7DC73-FAA3-4660-A7A7-904D100A69E9}" xr6:coauthVersionLast="47" xr6:coauthVersionMax="47" xr10:uidLastSave="{00000000-0000-0000-0000-000000000000}"/>
  <bookViews>
    <workbookView xWindow="-108" yWindow="-108" windowWidth="18648" windowHeight="9984" firstSheet="24" activeTab="29" xr2:uid="{B5765D42-2E6D-4FC1-9CFE-CD831EC105F8}"/>
  </bookViews>
  <sheets>
    <sheet name="Mercado_Receita" sheetId="1" r:id="rId1"/>
    <sheet name="EVENTOS" sheetId="2" r:id="rId2"/>
    <sheet name="TAR FIN" sheetId="15" r:id="rId3"/>
    <sheet name="MERCADO TUSD" sheetId="3" r:id="rId4"/>
    <sheet name="MERCADO TE" sheetId="4" r:id="rId5"/>
    <sheet name="CUSTOS" sheetId="5" r:id="rId6"/>
    <sheet name="TRANSICAO" sheetId="14" r:id="rId7"/>
    <sheet name="TR TUSD" sheetId="6" r:id="rId8"/>
    <sheet name="TUSD BE" sheetId="7" r:id="rId9"/>
    <sheet name="TUSD BF" sheetId="8" r:id="rId10"/>
    <sheet name="TUSD CVA" sheetId="9" r:id="rId11"/>
    <sheet name="TR TE" sheetId="10" r:id="rId12"/>
    <sheet name="TE BE" sheetId="11" r:id="rId13"/>
    <sheet name="TE BF" sheetId="12" r:id="rId14"/>
    <sheet name="TE CVA" sheetId="13" r:id="rId15"/>
    <sheet name="EFEITO" sheetId="16" r:id="rId16"/>
    <sheet name="SUBSIDIO" sheetId="17" r:id="rId17"/>
    <sheet name="TabDinEfeito" sheetId="18" r:id="rId18"/>
    <sheet name="TabDinSubsidio" sheetId="19" r:id="rId19"/>
    <sheet name="TABELAS REH" sheetId="28" r:id="rId20"/>
    <sheet name="CONSISTENCIA" sheetId="21" r:id="rId21"/>
    <sheet name="TUSD" sheetId="23" r:id="rId22"/>
    <sheet name="TE" sheetId="24" r:id="rId23"/>
    <sheet name="RESUMO TUSD" sheetId="25" r:id="rId24"/>
    <sheet name="RESUMO TE" sheetId="26" r:id="rId25"/>
    <sheet name="Descontos" sheetId="20" r:id="rId26"/>
    <sheet name="ERD" sheetId="27" r:id="rId27"/>
    <sheet name="TA - Aplicação" sheetId="29" r:id="rId28"/>
    <sheet name="TA - BE" sheetId="30" r:id="rId29"/>
    <sheet name="TA - CVA" sheetId="31" r:id="rId30"/>
  </sheets>
  <definedNames>
    <definedName name="DadosExternos_1" localSheetId="27" hidden="1">'TA - Aplicação'!$B$3:$AT$49</definedName>
    <definedName name="DadosExternos_1" localSheetId="28" hidden="1">'TA - BE'!$B$3:$AT$49</definedName>
    <definedName name="DadosExternos_1" localSheetId="29" hidden="1">'TA - CVA'!$B$3:$AT$49</definedName>
  </definedNames>
  <calcPr calcId="191029"/>
  <pivotCaches>
    <pivotCache cacheId="25" r:id="rId31"/>
    <pivotCache cacheId="26" r:id="rId3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28" l="1"/>
  <c r="V32" i="28"/>
  <c r="V31" i="28"/>
  <c r="V30" i="28"/>
  <c r="V29" i="28"/>
  <c r="V28" i="28"/>
  <c r="V27" i="28"/>
  <c r="V26" i="28"/>
  <c r="V21" i="28"/>
  <c r="V16" i="28"/>
  <c r="V25" i="28"/>
  <c r="V20" i="28"/>
  <c r="V15" i="28"/>
  <c r="V24" i="28"/>
  <c r="V23" i="28"/>
  <c r="V22" i="28"/>
  <c r="V19" i="28"/>
  <c r="V18" i="28"/>
  <c r="V17" i="28"/>
  <c r="V14" i="28"/>
  <c r="V13" i="28"/>
  <c r="V12" i="28"/>
  <c r="V11" i="28"/>
  <c r="V9" i="28"/>
  <c r="V10" i="28"/>
  <c r="V8" i="28"/>
  <c r="V7" i="28"/>
  <c r="V6" i="28"/>
  <c r="V5" i="28"/>
  <c r="J11" i="28"/>
  <c r="J10" i="28"/>
  <c r="J6" i="28"/>
  <c r="J5" i="28"/>
  <c r="I3" i="27"/>
  <c r="I2" i="27" s="1"/>
  <c r="B2" i="27"/>
  <c r="C2" i="27"/>
  <c r="D2" i="27"/>
  <c r="E2" i="27"/>
  <c r="F2" i="27"/>
  <c r="G2" i="27"/>
  <c r="H2" i="27"/>
  <c r="J2" i="27"/>
  <c r="K2" i="27"/>
  <c r="L2" i="27"/>
  <c r="B11" i="27"/>
  <c r="P11" i="5" l="1"/>
  <c r="R11" i="5" s="1"/>
  <c r="P10" i="5"/>
  <c r="R10" i="5" s="1"/>
  <c r="P9" i="5"/>
  <c r="R9" i="5" s="1"/>
  <c r="F44" i="5"/>
  <c r="E44" i="5"/>
  <c r="D44" i="5"/>
  <c r="F26" i="5"/>
  <c r="E26" i="5"/>
  <c r="D26" i="5"/>
  <c r="F25" i="5"/>
  <c r="E25" i="5"/>
  <c r="D25" i="5"/>
  <c r="F24" i="5"/>
  <c r="E24" i="5"/>
  <c r="D24" i="5"/>
  <c r="D13" i="5"/>
  <c r="F39" i="5"/>
  <c r="F17" i="5"/>
  <c r="F16" i="5"/>
  <c r="F12" i="5"/>
  <c r="F11" i="5"/>
  <c r="M15" i="5"/>
  <c r="M7" i="5"/>
  <c r="D36" i="5" s="1"/>
  <c r="L5" i="26"/>
  <c r="K5" i="26"/>
  <c r="J5" i="26"/>
  <c r="I5" i="26"/>
  <c r="H5" i="26"/>
  <c r="G5" i="26"/>
  <c r="F5" i="26"/>
  <c r="E5" i="26"/>
  <c r="D5" i="26"/>
  <c r="C5" i="26"/>
  <c r="B5" i="26"/>
  <c r="I2" i="26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I2" i="25"/>
  <c r="AE13" i="21"/>
  <c r="AD13" i="21"/>
  <c r="AC13" i="21"/>
  <c r="AB13" i="21"/>
  <c r="AA13" i="21"/>
  <c r="W13" i="21"/>
  <c r="V13" i="21"/>
  <c r="U13" i="21"/>
  <c r="AI13" i="21" s="1"/>
  <c r="T13" i="21"/>
  <c r="S13" i="21"/>
  <c r="R13" i="21"/>
  <c r="AE12" i="21"/>
  <c r="AD12" i="21"/>
  <c r="AE8" i="21"/>
  <c r="AD8" i="21"/>
  <c r="AC8" i="21"/>
  <c r="AB8" i="21"/>
  <c r="AA8" i="21"/>
  <c r="W8" i="21"/>
  <c r="AJ8" i="21" s="1"/>
  <c r="V8" i="21"/>
  <c r="U8" i="21"/>
  <c r="AI8" i="21" s="1"/>
  <c r="T8" i="21"/>
  <c r="S8" i="21"/>
  <c r="Y8" i="21" s="1"/>
  <c r="R8" i="21"/>
  <c r="X8" i="21" s="1"/>
  <c r="AF8" i="21" s="1"/>
  <c r="AE7" i="21"/>
  <c r="AD7" i="21"/>
  <c r="AE6" i="21"/>
  <c r="AD6" i="21"/>
  <c r="AC6" i="21"/>
  <c r="AB6" i="21"/>
  <c r="AA6" i="21"/>
  <c r="Y6" i="21"/>
  <c r="AG6" i="21" s="1"/>
  <c r="W6" i="21"/>
  <c r="AJ6" i="21" s="1"/>
  <c r="V6" i="21"/>
  <c r="U6" i="21"/>
  <c r="AI6" i="21" s="1"/>
  <c r="T6" i="21"/>
  <c r="S6" i="21"/>
  <c r="R6" i="21"/>
  <c r="X6" i="21" s="1"/>
  <c r="AF6" i="21" s="1"/>
  <c r="AE5" i="21"/>
  <c r="AD5" i="21"/>
  <c r="AC5" i="21"/>
  <c r="AB5" i="21"/>
  <c r="AA5" i="21"/>
  <c r="W5" i="21"/>
  <c r="V5" i="21"/>
  <c r="U5" i="21"/>
  <c r="T5" i="21"/>
  <c r="S5" i="21"/>
  <c r="Y5" i="21" s="1"/>
  <c r="AG5" i="21" s="1"/>
  <c r="R5" i="21"/>
  <c r="AE4" i="21"/>
  <c r="AD4" i="21"/>
  <c r="AC4" i="21"/>
  <c r="AB4" i="21"/>
  <c r="AA4" i="21"/>
  <c r="X4" i="21"/>
  <c r="AF4" i="21" s="1"/>
  <c r="W4" i="21"/>
  <c r="V4" i="21"/>
  <c r="U4" i="21"/>
  <c r="AI4" i="21" s="1"/>
  <c r="T4" i="21"/>
  <c r="S4" i="21"/>
  <c r="R4" i="21"/>
  <c r="AE3" i="21"/>
  <c r="AD3" i="21"/>
  <c r="AC3" i="21"/>
  <c r="AB3" i="21"/>
  <c r="AA3" i="21"/>
  <c r="W3" i="21"/>
  <c r="V3" i="21"/>
  <c r="U3" i="21"/>
  <c r="T3" i="21"/>
  <c r="S3" i="21"/>
  <c r="Y3" i="21" s="1"/>
  <c r="AG3" i="21" s="1"/>
  <c r="R3" i="21"/>
  <c r="J213" i="21"/>
  <c r="J212" i="21"/>
  <c r="J211" i="21"/>
  <c r="J210" i="21"/>
  <c r="J209" i="21"/>
  <c r="M209" i="21" s="1"/>
  <c r="J208" i="21"/>
  <c r="M208" i="21" s="1"/>
  <c r="J207" i="21"/>
  <c r="M207" i="21" s="1"/>
  <c r="J206" i="21"/>
  <c r="M206" i="21" s="1"/>
  <c r="J205" i="21"/>
  <c r="J204" i="21"/>
  <c r="M204" i="21" s="1"/>
  <c r="J203" i="21"/>
  <c r="J202" i="21"/>
  <c r="J225" i="21"/>
  <c r="M225" i="21" s="1"/>
  <c r="J224" i="21"/>
  <c r="M224" i="21" s="1"/>
  <c r="M223" i="21"/>
  <c r="J223" i="21"/>
  <c r="J222" i="21"/>
  <c r="M222" i="21" s="1"/>
  <c r="J221" i="21"/>
  <c r="M221" i="21" s="1"/>
  <c r="J220" i="21"/>
  <c r="M220" i="21" s="1"/>
  <c r="J219" i="21"/>
  <c r="M219" i="21" s="1"/>
  <c r="J218" i="21"/>
  <c r="M218" i="21" s="1"/>
  <c r="J217" i="21"/>
  <c r="M217" i="21" s="1"/>
  <c r="J216" i="21"/>
  <c r="M216" i="21" s="1"/>
  <c r="M215" i="21"/>
  <c r="J215" i="21"/>
  <c r="J214" i="21"/>
  <c r="M213" i="21"/>
  <c r="M212" i="21"/>
  <c r="M211" i="21"/>
  <c r="M210" i="21"/>
  <c r="M205" i="21"/>
  <c r="M203" i="21"/>
  <c r="M202" i="21"/>
  <c r="J201" i="21"/>
  <c r="M201" i="21" s="1"/>
  <c r="M200" i="21"/>
  <c r="J200" i="21"/>
  <c r="J199" i="21"/>
  <c r="M199" i="21" s="1"/>
  <c r="J198" i="21"/>
  <c r="M198" i="21" s="1"/>
  <c r="J197" i="21"/>
  <c r="M197" i="21" s="1"/>
  <c r="J196" i="21"/>
  <c r="M196" i="21" s="1"/>
  <c r="J195" i="21"/>
  <c r="M195" i="21" s="1"/>
  <c r="J194" i="21"/>
  <c r="M194" i="21" s="1"/>
  <c r="J193" i="21"/>
  <c r="M193" i="21" s="1"/>
  <c r="J192" i="21"/>
  <c r="M192" i="21" s="1"/>
  <c r="J191" i="21"/>
  <c r="M191" i="21" s="1"/>
  <c r="J190" i="21"/>
  <c r="M190" i="21" s="1"/>
  <c r="M189" i="21"/>
  <c r="J189" i="21"/>
  <c r="J188" i="21"/>
  <c r="M188" i="21" s="1"/>
  <c r="J187" i="21"/>
  <c r="M187" i="21" s="1"/>
  <c r="J186" i="21"/>
  <c r="M186" i="21" s="1"/>
  <c r="J185" i="21"/>
  <c r="M185" i="21" s="1"/>
  <c r="M184" i="21"/>
  <c r="J184" i="21"/>
  <c r="J183" i="21"/>
  <c r="M183" i="21" s="1"/>
  <c r="J182" i="21"/>
  <c r="M182" i="21" s="1"/>
  <c r="J181" i="21"/>
  <c r="M181" i="21" s="1"/>
  <c r="M180" i="21"/>
  <c r="J180" i="21"/>
  <c r="J179" i="21"/>
  <c r="M179" i="21" s="1"/>
  <c r="J178" i="21"/>
  <c r="M178" i="21" s="1"/>
  <c r="M177" i="21"/>
  <c r="J177" i="21"/>
  <c r="J176" i="21"/>
  <c r="M176" i="21" s="1"/>
  <c r="J175" i="21"/>
  <c r="M175" i="21" s="1"/>
  <c r="M174" i="21"/>
  <c r="J174" i="21"/>
  <c r="J173" i="21"/>
  <c r="M173" i="21" s="1"/>
  <c r="J172" i="21"/>
  <c r="M172" i="21" s="1"/>
  <c r="J171" i="21"/>
  <c r="M171" i="21" s="1"/>
  <c r="M170" i="21"/>
  <c r="J170" i="21"/>
  <c r="J169" i="21"/>
  <c r="M169" i="21" s="1"/>
  <c r="M168" i="21"/>
  <c r="J168" i="21"/>
  <c r="J167" i="21"/>
  <c r="M167" i="21" s="1"/>
  <c r="J166" i="21"/>
  <c r="M165" i="21"/>
  <c r="J165" i="21"/>
  <c r="J164" i="21"/>
  <c r="M164" i="21" s="1"/>
  <c r="J163" i="21"/>
  <c r="M163" i="21" s="1"/>
  <c r="J162" i="21"/>
  <c r="M162" i="21" s="1"/>
  <c r="M161" i="21"/>
  <c r="J161" i="21"/>
  <c r="J160" i="21"/>
  <c r="M160" i="21" s="1"/>
  <c r="J159" i="21"/>
  <c r="M159" i="21" s="1"/>
  <c r="J158" i="21"/>
  <c r="M158" i="21" s="1"/>
  <c r="M157" i="21"/>
  <c r="J157" i="21"/>
  <c r="J156" i="21"/>
  <c r="M156" i="21" s="1"/>
  <c r="J155" i="21"/>
  <c r="M155" i="21" s="1"/>
  <c r="M154" i="21"/>
  <c r="J154" i="21"/>
  <c r="J153" i="21"/>
  <c r="M153" i="21" s="1"/>
  <c r="J152" i="21"/>
  <c r="M152" i="21" s="1"/>
  <c r="J151" i="21"/>
  <c r="M151" i="21" s="1"/>
  <c r="J150" i="21"/>
  <c r="M150" i="21" s="1"/>
  <c r="J149" i="21"/>
  <c r="M149" i="21" s="1"/>
  <c r="J148" i="21"/>
  <c r="M148" i="21" s="1"/>
  <c r="M147" i="21"/>
  <c r="J147" i="21"/>
  <c r="J146" i="21"/>
  <c r="M146" i="21" s="1"/>
  <c r="J145" i="21"/>
  <c r="M145" i="21" s="1"/>
  <c r="J144" i="21"/>
  <c r="M144" i="21" s="1"/>
  <c r="J143" i="21"/>
  <c r="M143" i="21" s="1"/>
  <c r="J142" i="21"/>
  <c r="M142" i="21" s="1"/>
  <c r="J141" i="21"/>
  <c r="M141" i="21" s="1"/>
  <c r="J140" i="21"/>
  <c r="M140" i="21" s="1"/>
  <c r="M139" i="21"/>
  <c r="J139" i="21"/>
  <c r="M138" i="21"/>
  <c r="J138" i="21"/>
  <c r="J137" i="21"/>
  <c r="M137" i="21" s="1"/>
  <c r="M136" i="21"/>
  <c r="J136" i="21"/>
  <c r="M135" i="21"/>
  <c r="J135" i="21"/>
  <c r="J134" i="21"/>
  <c r="M134" i="21" s="1"/>
  <c r="J133" i="21"/>
  <c r="M133" i="21" s="1"/>
  <c r="J132" i="21"/>
  <c r="M132" i="21" s="1"/>
  <c r="M131" i="21"/>
  <c r="J131" i="21"/>
  <c r="J130" i="21"/>
  <c r="M130" i="21" s="1"/>
  <c r="J129" i="21"/>
  <c r="M129" i="21" s="1"/>
  <c r="J128" i="21"/>
  <c r="M128" i="21" s="1"/>
  <c r="M127" i="21"/>
  <c r="J127" i="21"/>
  <c r="M126" i="21"/>
  <c r="J126" i="21"/>
  <c r="J125" i="21"/>
  <c r="M125" i="21" s="1"/>
  <c r="J124" i="21"/>
  <c r="M124" i="21" s="1"/>
  <c r="J123" i="21"/>
  <c r="M123" i="21" s="1"/>
  <c r="J122" i="21"/>
  <c r="M122" i="21" s="1"/>
  <c r="J121" i="21"/>
  <c r="M121" i="21" s="1"/>
  <c r="M120" i="21"/>
  <c r="J120" i="21"/>
  <c r="J119" i="21"/>
  <c r="M119" i="21" s="1"/>
  <c r="M118" i="21"/>
  <c r="J118" i="21"/>
  <c r="J117" i="21"/>
  <c r="M117" i="21" s="1"/>
  <c r="J116" i="21"/>
  <c r="M116" i="21" s="1"/>
  <c r="J115" i="21"/>
  <c r="M115" i="21" s="1"/>
  <c r="M114" i="21"/>
  <c r="J114" i="21"/>
  <c r="J113" i="21"/>
  <c r="M113" i="21" s="1"/>
  <c r="M112" i="21"/>
  <c r="J112" i="21"/>
  <c r="J111" i="21"/>
  <c r="M111" i="21" s="1"/>
  <c r="M110" i="21"/>
  <c r="J110" i="21"/>
  <c r="J109" i="21"/>
  <c r="M109" i="21" s="1"/>
  <c r="J108" i="21"/>
  <c r="M108" i="21" s="1"/>
  <c r="J107" i="21"/>
  <c r="M107" i="21" s="1"/>
  <c r="M106" i="21"/>
  <c r="J106" i="21"/>
  <c r="J105" i="21"/>
  <c r="M105" i="21" s="1"/>
  <c r="M104" i="21"/>
  <c r="J104" i="21"/>
  <c r="J103" i="21"/>
  <c r="M103" i="21" s="1"/>
  <c r="M102" i="21"/>
  <c r="J102" i="21"/>
  <c r="J101" i="21"/>
  <c r="M101" i="21" s="1"/>
  <c r="J100" i="21"/>
  <c r="M100" i="21" s="1"/>
  <c r="J99" i="21"/>
  <c r="M99" i="21" s="1"/>
  <c r="J98" i="21"/>
  <c r="M98" i="21" s="1"/>
  <c r="J97" i="21"/>
  <c r="M97" i="21" s="1"/>
  <c r="J96" i="21"/>
  <c r="M96" i="21" s="1"/>
  <c r="J95" i="21"/>
  <c r="M95" i="21" s="1"/>
  <c r="J94" i="21"/>
  <c r="M94" i="21" s="1"/>
  <c r="J93" i="21"/>
  <c r="M93" i="21" s="1"/>
  <c r="J92" i="21"/>
  <c r="M92" i="21" s="1"/>
  <c r="J91" i="21"/>
  <c r="M91" i="21" s="1"/>
  <c r="J90" i="21"/>
  <c r="M90" i="21" s="1"/>
  <c r="J89" i="21"/>
  <c r="M89" i="21" s="1"/>
  <c r="J88" i="21"/>
  <c r="M88" i="21" s="1"/>
  <c r="J87" i="21"/>
  <c r="M87" i="21" s="1"/>
  <c r="J86" i="21"/>
  <c r="M86" i="21" s="1"/>
  <c r="J85" i="21"/>
  <c r="M85" i="21" s="1"/>
  <c r="J84" i="21"/>
  <c r="M84" i="21" s="1"/>
  <c r="J83" i="21"/>
  <c r="M83" i="21" s="1"/>
  <c r="J82" i="21"/>
  <c r="M82" i="21" s="1"/>
  <c r="J81" i="21"/>
  <c r="M81" i="21" s="1"/>
  <c r="J80" i="21"/>
  <c r="M80" i="21" s="1"/>
  <c r="J79" i="21"/>
  <c r="M79" i="21" s="1"/>
  <c r="J78" i="21"/>
  <c r="M78" i="21" s="1"/>
  <c r="J77" i="21"/>
  <c r="M77" i="21" s="1"/>
  <c r="J76" i="21"/>
  <c r="M76" i="21" s="1"/>
  <c r="J75" i="21"/>
  <c r="M75" i="21" s="1"/>
  <c r="J74" i="21"/>
  <c r="M74" i="21" s="1"/>
  <c r="J73" i="21"/>
  <c r="M73" i="21" s="1"/>
  <c r="J72" i="21"/>
  <c r="M72" i="21" s="1"/>
  <c r="J71" i="21"/>
  <c r="M71" i="21" s="1"/>
  <c r="J70" i="21"/>
  <c r="M70" i="21" s="1"/>
  <c r="J69" i="21"/>
  <c r="M69" i="21" s="1"/>
  <c r="J68" i="21"/>
  <c r="M68" i="21" s="1"/>
  <c r="J67" i="21"/>
  <c r="M67" i="21" s="1"/>
  <c r="J66" i="21"/>
  <c r="M66" i="21" s="1"/>
  <c r="J65" i="21"/>
  <c r="M65" i="21" s="1"/>
  <c r="M64" i="21"/>
  <c r="J64" i="21"/>
  <c r="J63" i="21"/>
  <c r="M63" i="21" s="1"/>
  <c r="J62" i="21"/>
  <c r="J61" i="21"/>
  <c r="M61" i="21" s="1"/>
  <c r="M60" i="21"/>
  <c r="J60" i="21"/>
  <c r="J59" i="21"/>
  <c r="M59" i="21" s="1"/>
  <c r="J58" i="21"/>
  <c r="M58" i="21" s="1"/>
  <c r="J57" i="21"/>
  <c r="M57" i="21" s="1"/>
  <c r="J56" i="21"/>
  <c r="M56" i="21" s="1"/>
  <c r="J55" i="21"/>
  <c r="M55" i="21" s="1"/>
  <c r="J54" i="21"/>
  <c r="M54" i="21" s="1"/>
  <c r="J53" i="21"/>
  <c r="M53" i="21" s="1"/>
  <c r="M52" i="21"/>
  <c r="J52" i="21"/>
  <c r="J51" i="21"/>
  <c r="M51" i="21" s="1"/>
  <c r="J50" i="21"/>
  <c r="M50" i="21" s="1"/>
  <c r="N49" i="21"/>
  <c r="L49" i="21"/>
  <c r="O49" i="21" s="1"/>
  <c r="K49" i="21"/>
  <c r="N48" i="21"/>
  <c r="L48" i="21"/>
  <c r="O48" i="21" s="1"/>
  <c r="K48" i="21"/>
  <c r="L47" i="21"/>
  <c r="O47" i="21" s="1"/>
  <c r="K47" i="21"/>
  <c r="N47" i="21" s="1"/>
  <c r="O46" i="21"/>
  <c r="L46" i="21"/>
  <c r="K46" i="21"/>
  <c r="N46" i="21" s="1"/>
  <c r="O45" i="21"/>
  <c r="L45" i="21"/>
  <c r="K45" i="21"/>
  <c r="N45" i="21" s="1"/>
  <c r="L44" i="21"/>
  <c r="O44" i="21" s="1"/>
  <c r="K44" i="21"/>
  <c r="N44" i="21" s="1"/>
  <c r="L43" i="21"/>
  <c r="O43" i="21" s="1"/>
  <c r="K43" i="21"/>
  <c r="N43" i="21" s="1"/>
  <c r="L42" i="21"/>
  <c r="O42" i="21" s="1"/>
  <c r="K42" i="21"/>
  <c r="N42" i="21" s="1"/>
  <c r="O41" i="21"/>
  <c r="L41" i="21"/>
  <c r="K41" i="21"/>
  <c r="N41" i="21" s="1"/>
  <c r="O40" i="21"/>
  <c r="L40" i="21"/>
  <c r="K40" i="21"/>
  <c r="N40" i="21" s="1"/>
  <c r="L39" i="21"/>
  <c r="O39" i="21" s="1"/>
  <c r="K39" i="21"/>
  <c r="N39" i="21" s="1"/>
  <c r="L38" i="21"/>
  <c r="O38" i="21" s="1"/>
  <c r="K38" i="21"/>
  <c r="N38" i="21" s="1"/>
  <c r="J37" i="21"/>
  <c r="M37" i="21" s="1"/>
  <c r="M36" i="21"/>
  <c r="J36" i="21"/>
  <c r="J35" i="21"/>
  <c r="M35" i="21" s="1"/>
  <c r="J34" i="21"/>
  <c r="M34" i="21" s="1"/>
  <c r="J33" i="21"/>
  <c r="M33" i="21" s="1"/>
  <c r="J32" i="21"/>
  <c r="M32" i="21" s="1"/>
  <c r="J31" i="21"/>
  <c r="M31" i="21" s="1"/>
  <c r="J30" i="21"/>
  <c r="M30" i="21" s="1"/>
  <c r="J29" i="21"/>
  <c r="M29" i="21" s="1"/>
  <c r="J28" i="21"/>
  <c r="M28" i="21" s="1"/>
  <c r="M27" i="21"/>
  <c r="J27" i="21"/>
  <c r="J26" i="21"/>
  <c r="M26" i="21" s="1"/>
  <c r="X213" i="16"/>
  <c r="W213" i="16"/>
  <c r="X212" i="16"/>
  <c r="W212" i="16"/>
  <c r="X211" i="16"/>
  <c r="W211" i="16"/>
  <c r="X210" i="16"/>
  <c r="W210" i="16"/>
  <c r="X209" i="16"/>
  <c r="W209" i="16"/>
  <c r="X208" i="16"/>
  <c r="W208" i="16"/>
  <c r="X207" i="16"/>
  <c r="W207" i="16"/>
  <c r="X206" i="16"/>
  <c r="W206" i="16"/>
  <c r="X205" i="16"/>
  <c r="W205" i="16"/>
  <c r="X204" i="16"/>
  <c r="W204" i="16"/>
  <c r="X203" i="16"/>
  <c r="W203" i="16"/>
  <c r="X202" i="16"/>
  <c r="W202" i="16"/>
  <c r="AD100" i="17"/>
  <c r="X100" i="17"/>
  <c r="W100" i="17"/>
  <c r="AD99" i="17"/>
  <c r="X99" i="17"/>
  <c r="W99" i="17"/>
  <c r="AC99" i="17" s="1"/>
  <c r="AD98" i="17"/>
  <c r="X98" i="17"/>
  <c r="W98" i="17"/>
  <c r="AD97" i="17"/>
  <c r="X97" i="17"/>
  <c r="W97" i="17"/>
  <c r="AC97" i="17" s="1"/>
  <c r="AD96" i="17"/>
  <c r="X96" i="17"/>
  <c r="W96" i="17"/>
  <c r="AD95" i="17"/>
  <c r="X95" i="17"/>
  <c r="W95" i="17"/>
  <c r="AC95" i="17" s="1"/>
  <c r="AD94" i="17"/>
  <c r="X94" i="17"/>
  <c r="W94" i="17"/>
  <c r="AD93" i="17"/>
  <c r="X93" i="17"/>
  <c r="W93" i="17"/>
  <c r="AC93" i="17" s="1"/>
  <c r="AD92" i="17"/>
  <c r="X92" i="17"/>
  <c r="W92" i="17"/>
  <c r="AD91" i="17"/>
  <c r="X91" i="17"/>
  <c r="W91" i="17"/>
  <c r="AC91" i="17" s="1"/>
  <c r="AD90" i="17"/>
  <c r="X90" i="17"/>
  <c r="W90" i="17"/>
  <c r="AD89" i="17"/>
  <c r="AD11" i="21" s="1"/>
  <c r="X89" i="17"/>
  <c r="W89" i="17"/>
  <c r="AC89" i="17" s="1"/>
  <c r="M40" i="5"/>
  <c r="M39" i="5"/>
  <c r="M38" i="5"/>
  <c r="AJ9" i="17"/>
  <c r="AI9" i="17"/>
  <c r="AJ4" i="17"/>
  <c r="AI4" i="17"/>
  <c r="AJ3" i="17"/>
  <c r="AI3" i="17"/>
  <c r="AJ2" i="17"/>
  <c r="AI2" i="17"/>
  <c r="AD88" i="17"/>
  <c r="AD87" i="17"/>
  <c r="AD86" i="17"/>
  <c r="AD85" i="17"/>
  <c r="AD84" i="17"/>
  <c r="AD83" i="17"/>
  <c r="AD82" i="17"/>
  <c r="AD81" i="17"/>
  <c r="AD80" i="17"/>
  <c r="AD79" i="17"/>
  <c r="AD78" i="17"/>
  <c r="AD77" i="17"/>
  <c r="AD76" i="17"/>
  <c r="AD75" i="17"/>
  <c r="AD74" i="17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10" i="21" s="1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B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D2" i="17"/>
  <c r="AD9" i="21" s="1"/>
  <c r="V100" i="17"/>
  <c r="AB100" i="17" s="1"/>
  <c r="V99" i="17"/>
  <c r="AB99" i="17" s="1"/>
  <c r="V98" i="17"/>
  <c r="AB98" i="17" s="1"/>
  <c r="V97" i="17"/>
  <c r="AB97" i="17" s="1"/>
  <c r="V96" i="17"/>
  <c r="AB96" i="17" s="1"/>
  <c r="V95" i="17"/>
  <c r="AB95" i="17" s="1"/>
  <c r="V94" i="17"/>
  <c r="AB94" i="17" s="1"/>
  <c r="V93" i="17"/>
  <c r="AB93" i="17" s="1"/>
  <c r="V92" i="17"/>
  <c r="AB92" i="17" s="1"/>
  <c r="V91" i="17"/>
  <c r="AB91" i="17" s="1"/>
  <c r="V90" i="17"/>
  <c r="AB90" i="17" s="1"/>
  <c r="V89" i="17"/>
  <c r="AB89" i="17" s="1"/>
  <c r="X88" i="17"/>
  <c r="W88" i="17"/>
  <c r="V88" i="17"/>
  <c r="AB88" i="17" s="1"/>
  <c r="X87" i="17"/>
  <c r="W87" i="17"/>
  <c r="V87" i="17"/>
  <c r="AB87" i="17" s="1"/>
  <c r="X86" i="17"/>
  <c r="W86" i="17"/>
  <c r="V86" i="17"/>
  <c r="AB86" i="17" s="1"/>
  <c r="X85" i="17"/>
  <c r="W85" i="17"/>
  <c r="V85" i="17"/>
  <c r="AB85" i="17" s="1"/>
  <c r="X84" i="17"/>
  <c r="W84" i="17"/>
  <c r="V84" i="17"/>
  <c r="AB84" i="17" s="1"/>
  <c r="X83" i="17"/>
  <c r="W83" i="17"/>
  <c r="V83" i="17"/>
  <c r="AB83" i="17" s="1"/>
  <c r="X82" i="17"/>
  <c r="W82" i="17"/>
  <c r="V82" i="17"/>
  <c r="AB82" i="17" s="1"/>
  <c r="X81" i="17"/>
  <c r="W81" i="17"/>
  <c r="V81" i="17"/>
  <c r="AB81" i="17" s="1"/>
  <c r="X80" i="17"/>
  <c r="W80" i="17"/>
  <c r="V80" i="17"/>
  <c r="AB80" i="17" s="1"/>
  <c r="X79" i="17"/>
  <c r="W79" i="17"/>
  <c r="V79" i="17"/>
  <c r="AB79" i="17" s="1"/>
  <c r="X78" i="17"/>
  <c r="W78" i="17"/>
  <c r="V78" i="17"/>
  <c r="AB78" i="17" s="1"/>
  <c r="X77" i="17"/>
  <c r="W77" i="17"/>
  <c r="V77" i="17"/>
  <c r="AB77" i="17" s="1"/>
  <c r="X76" i="17"/>
  <c r="W76" i="17"/>
  <c r="V76" i="17"/>
  <c r="AB76" i="17" s="1"/>
  <c r="X75" i="17"/>
  <c r="W75" i="17"/>
  <c r="V75" i="17"/>
  <c r="AB75" i="17" s="1"/>
  <c r="X74" i="17"/>
  <c r="W74" i="17"/>
  <c r="V74" i="17"/>
  <c r="AB74" i="17" s="1"/>
  <c r="X73" i="17"/>
  <c r="W73" i="17"/>
  <c r="V73" i="17"/>
  <c r="AB73" i="17" s="1"/>
  <c r="X72" i="17"/>
  <c r="W72" i="17"/>
  <c r="V72" i="17"/>
  <c r="AB72" i="17" s="1"/>
  <c r="X71" i="17"/>
  <c r="W71" i="17"/>
  <c r="V71" i="17"/>
  <c r="AB71" i="17" s="1"/>
  <c r="X70" i="17"/>
  <c r="W70" i="17"/>
  <c r="V70" i="17"/>
  <c r="AB70" i="17" s="1"/>
  <c r="X69" i="17"/>
  <c r="W69" i="17"/>
  <c r="V69" i="17"/>
  <c r="AB69" i="17" s="1"/>
  <c r="X68" i="17"/>
  <c r="W68" i="17"/>
  <c r="V68" i="17"/>
  <c r="AB68" i="17" s="1"/>
  <c r="X67" i="17"/>
  <c r="W67" i="17"/>
  <c r="V67" i="17"/>
  <c r="AB67" i="17" s="1"/>
  <c r="X66" i="17"/>
  <c r="W66" i="17"/>
  <c r="V66" i="17"/>
  <c r="AB66" i="17" s="1"/>
  <c r="X65" i="17"/>
  <c r="W65" i="17"/>
  <c r="V65" i="17"/>
  <c r="AB65" i="17" s="1"/>
  <c r="X64" i="17"/>
  <c r="W64" i="17"/>
  <c r="V64" i="17"/>
  <c r="AB64" i="17" s="1"/>
  <c r="X63" i="17"/>
  <c r="W63" i="17"/>
  <c r="V63" i="17"/>
  <c r="AB63" i="17" s="1"/>
  <c r="X62" i="17"/>
  <c r="W62" i="17"/>
  <c r="V62" i="17"/>
  <c r="AB62" i="17" s="1"/>
  <c r="X61" i="17"/>
  <c r="W61" i="17"/>
  <c r="V61" i="17"/>
  <c r="AB61" i="17" s="1"/>
  <c r="X60" i="17"/>
  <c r="W60" i="17"/>
  <c r="V60" i="17"/>
  <c r="AB60" i="17" s="1"/>
  <c r="X59" i="17"/>
  <c r="W59" i="17"/>
  <c r="V59" i="17"/>
  <c r="AB59" i="17" s="1"/>
  <c r="X58" i="17"/>
  <c r="W58" i="17"/>
  <c r="V58" i="17"/>
  <c r="AB58" i="17" s="1"/>
  <c r="X57" i="17"/>
  <c r="W57" i="17"/>
  <c r="V57" i="17"/>
  <c r="AB57" i="17" s="1"/>
  <c r="X56" i="17"/>
  <c r="W56" i="17"/>
  <c r="V56" i="17"/>
  <c r="AB56" i="17" s="1"/>
  <c r="X55" i="17"/>
  <c r="W55" i="17"/>
  <c r="V55" i="17"/>
  <c r="AB55" i="17" s="1"/>
  <c r="X54" i="17"/>
  <c r="W54" i="17"/>
  <c r="V54" i="17"/>
  <c r="AB54" i="17" s="1"/>
  <c r="X53" i="17"/>
  <c r="W53" i="17"/>
  <c r="V53" i="17"/>
  <c r="AB53" i="17" s="1"/>
  <c r="X52" i="17"/>
  <c r="W52" i="17"/>
  <c r="V52" i="17"/>
  <c r="AB52" i="17" s="1"/>
  <c r="X51" i="17"/>
  <c r="W51" i="17"/>
  <c r="V51" i="17"/>
  <c r="AB51" i="17" s="1"/>
  <c r="X50" i="17"/>
  <c r="W50" i="17"/>
  <c r="V50" i="17"/>
  <c r="AB50" i="17" s="1"/>
  <c r="X49" i="17"/>
  <c r="W49" i="17"/>
  <c r="V49" i="17"/>
  <c r="AB49" i="17" s="1"/>
  <c r="X48" i="17"/>
  <c r="W48" i="17"/>
  <c r="V48" i="17"/>
  <c r="AB48" i="17" s="1"/>
  <c r="X47" i="17"/>
  <c r="W47" i="17"/>
  <c r="V47" i="17"/>
  <c r="AB47" i="17" s="1"/>
  <c r="X46" i="17"/>
  <c r="W46" i="17"/>
  <c r="V46" i="17"/>
  <c r="AB46" i="17" s="1"/>
  <c r="X45" i="17"/>
  <c r="W45" i="17"/>
  <c r="V45" i="17"/>
  <c r="AB45" i="17" s="1"/>
  <c r="X44" i="17"/>
  <c r="W44" i="17"/>
  <c r="V44" i="17"/>
  <c r="AB44" i="17" s="1"/>
  <c r="X43" i="17"/>
  <c r="W43" i="17"/>
  <c r="V43" i="17"/>
  <c r="AB43" i="17" s="1"/>
  <c r="X42" i="17"/>
  <c r="W42" i="17"/>
  <c r="V42" i="17"/>
  <c r="AB42" i="17" s="1"/>
  <c r="X41" i="17"/>
  <c r="W41" i="17"/>
  <c r="V41" i="17"/>
  <c r="AB41" i="17" s="1"/>
  <c r="X40" i="17"/>
  <c r="W40" i="17"/>
  <c r="V40" i="17"/>
  <c r="AB40" i="17" s="1"/>
  <c r="X39" i="17"/>
  <c r="W39" i="17"/>
  <c r="V39" i="17"/>
  <c r="AB39" i="17" s="1"/>
  <c r="X38" i="17"/>
  <c r="W38" i="17"/>
  <c r="V38" i="17"/>
  <c r="AB38" i="17" s="1"/>
  <c r="X37" i="17"/>
  <c r="W37" i="17"/>
  <c r="V37" i="17"/>
  <c r="AB37" i="17" s="1"/>
  <c r="X36" i="17"/>
  <c r="W36" i="17"/>
  <c r="AC36" i="17" s="1"/>
  <c r="V36" i="17"/>
  <c r="AB36" i="17" s="1"/>
  <c r="X35" i="17"/>
  <c r="W35" i="17"/>
  <c r="V35" i="17"/>
  <c r="AB35" i="17" s="1"/>
  <c r="X34" i="17"/>
  <c r="W34" i="17"/>
  <c r="V34" i="17"/>
  <c r="AB34" i="17" s="1"/>
  <c r="X33" i="17"/>
  <c r="W33" i="17"/>
  <c r="V33" i="17"/>
  <c r="AB33" i="17" s="1"/>
  <c r="X32" i="17"/>
  <c r="W32" i="17"/>
  <c r="V32" i="17"/>
  <c r="AB32" i="17" s="1"/>
  <c r="X31" i="17"/>
  <c r="W31" i="17"/>
  <c r="V31" i="17"/>
  <c r="AB31" i="17" s="1"/>
  <c r="X30" i="17"/>
  <c r="W30" i="17"/>
  <c r="V30" i="17"/>
  <c r="AB30" i="17" s="1"/>
  <c r="X29" i="17"/>
  <c r="W29" i="17"/>
  <c r="V29" i="17"/>
  <c r="AB29" i="17" s="1"/>
  <c r="X28" i="17"/>
  <c r="W28" i="17"/>
  <c r="AC28" i="17" s="1"/>
  <c r="V28" i="17"/>
  <c r="AB28" i="17" s="1"/>
  <c r="X27" i="17"/>
  <c r="W27" i="17"/>
  <c r="V27" i="17"/>
  <c r="AB27" i="17" s="1"/>
  <c r="X26" i="17"/>
  <c r="W26" i="17"/>
  <c r="V26" i="17"/>
  <c r="AB26" i="17" s="1"/>
  <c r="X25" i="17"/>
  <c r="W25" i="17"/>
  <c r="V25" i="17"/>
  <c r="AB25" i="17" s="1"/>
  <c r="X24" i="17"/>
  <c r="W24" i="17"/>
  <c r="V24" i="17"/>
  <c r="AB24" i="17" s="1"/>
  <c r="X23" i="17"/>
  <c r="W23" i="17"/>
  <c r="V23" i="17"/>
  <c r="AB23" i="17" s="1"/>
  <c r="X22" i="17"/>
  <c r="W22" i="17"/>
  <c r="V22" i="17"/>
  <c r="AB22" i="17" s="1"/>
  <c r="X21" i="17"/>
  <c r="W21" i="17"/>
  <c r="V21" i="17"/>
  <c r="AB21" i="17" s="1"/>
  <c r="X20" i="17"/>
  <c r="W20" i="17"/>
  <c r="AC20" i="17" s="1"/>
  <c r="V20" i="17"/>
  <c r="AB20" i="17" s="1"/>
  <c r="X19" i="17"/>
  <c r="W19" i="17"/>
  <c r="V19" i="17"/>
  <c r="X18" i="17"/>
  <c r="W18" i="17"/>
  <c r="V18" i="17"/>
  <c r="AB18" i="17" s="1"/>
  <c r="X17" i="17"/>
  <c r="W17" i="17"/>
  <c r="V17" i="17"/>
  <c r="AB17" i="17" s="1"/>
  <c r="X16" i="17"/>
  <c r="W16" i="17"/>
  <c r="V16" i="17"/>
  <c r="AB16" i="17" s="1"/>
  <c r="X15" i="17"/>
  <c r="W15" i="17"/>
  <c r="V15" i="17"/>
  <c r="AB15" i="17" s="1"/>
  <c r="X14" i="17"/>
  <c r="W14" i="17"/>
  <c r="V14" i="17"/>
  <c r="AB14" i="17" s="1"/>
  <c r="X13" i="17"/>
  <c r="W13" i="17"/>
  <c r="V13" i="17"/>
  <c r="AB13" i="17" s="1"/>
  <c r="X12" i="17"/>
  <c r="W12" i="17"/>
  <c r="AC12" i="17" s="1"/>
  <c r="V12" i="17"/>
  <c r="AB12" i="17" s="1"/>
  <c r="X11" i="17"/>
  <c r="W11" i="17"/>
  <c r="V11" i="17"/>
  <c r="AB11" i="17" s="1"/>
  <c r="X10" i="17"/>
  <c r="W10" i="17"/>
  <c r="V10" i="17"/>
  <c r="AB10" i="17" s="1"/>
  <c r="X9" i="17"/>
  <c r="W9" i="17"/>
  <c r="V9" i="17"/>
  <c r="AB9" i="17" s="1"/>
  <c r="X8" i="17"/>
  <c r="W8" i="17"/>
  <c r="V8" i="17"/>
  <c r="AB8" i="17" s="1"/>
  <c r="X7" i="17"/>
  <c r="W7" i="17"/>
  <c r="V7" i="17"/>
  <c r="AB7" i="17" s="1"/>
  <c r="X6" i="17"/>
  <c r="W6" i="17"/>
  <c r="V6" i="17"/>
  <c r="AB6" i="17" s="1"/>
  <c r="X5" i="17"/>
  <c r="W5" i="17"/>
  <c r="V5" i="17"/>
  <c r="AB5" i="17" s="1"/>
  <c r="X4" i="17"/>
  <c r="W4" i="17"/>
  <c r="AC4" i="17" s="1"/>
  <c r="V4" i="17"/>
  <c r="AB4" i="17" s="1"/>
  <c r="X3" i="17"/>
  <c r="W3" i="17"/>
  <c r="V3" i="17"/>
  <c r="AB3" i="17" s="1"/>
  <c r="X2" i="17"/>
  <c r="W2" i="17"/>
  <c r="V2" i="17"/>
  <c r="AB2" i="17" s="1"/>
  <c r="AE225" i="16"/>
  <c r="AE224" i="16"/>
  <c r="AE223" i="16"/>
  <c r="AD223" i="16"/>
  <c r="AE222" i="16"/>
  <c r="AE221" i="16"/>
  <c r="AE220" i="16"/>
  <c r="AE219" i="16"/>
  <c r="AE218" i="16"/>
  <c r="AE217" i="16"/>
  <c r="AE216" i="16"/>
  <c r="AE215" i="16"/>
  <c r="AD215" i="16"/>
  <c r="AE214" i="16"/>
  <c r="AA12" i="21" s="1"/>
  <c r="AE213" i="16"/>
  <c r="AD213" i="16"/>
  <c r="AC213" i="16"/>
  <c r="AE212" i="16"/>
  <c r="AD212" i="16"/>
  <c r="AC212" i="16"/>
  <c r="AE211" i="16"/>
  <c r="AD211" i="16"/>
  <c r="AC211" i="16"/>
  <c r="AE210" i="16"/>
  <c r="AD210" i="16"/>
  <c r="AC210" i="16"/>
  <c r="AE209" i="16"/>
  <c r="AD209" i="16"/>
  <c r="AC209" i="16"/>
  <c r="AE208" i="16"/>
  <c r="AD208" i="16"/>
  <c r="AC208" i="16"/>
  <c r="AE207" i="16"/>
  <c r="AD207" i="16"/>
  <c r="AC207" i="16"/>
  <c r="AE206" i="16"/>
  <c r="AD206" i="16"/>
  <c r="AC206" i="16"/>
  <c r="AE205" i="16"/>
  <c r="AD205" i="16"/>
  <c r="AC205" i="16"/>
  <c r="AE204" i="16"/>
  <c r="AD204" i="16"/>
  <c r="AC204" i="16"/>
  <c r="AE203" i="16"/>
  <c r="AD203" i="16"/>
  <c r="AC203" i="16"/>
  <c r="AE202" i="16"/>
  <c r="AD202" i="16"/>
  <c r="AC202" i="16"/>
  <c r="AE201" i="16"/>
  <c r="AE200" i="16"/>
  <c r="AE199" i="16"/>
  <c r="AE198" i="16"/>
  <c r="AD198" i="16"/>
  <c r="AE197" i="16"/>
  <c r="AE196" i="16"/>
  <c r="AE195" i="16"/>
  <c r="AE194" i="16"/>
  <c r="AE193" i="16"/>
  <c r="AE192" i="16"/>
  <c r="AE191" i="16"/>
  <c r="AE190" i="16"/>
  <c r="AE189" i="16"/>
  <c r="AE188" i="16"/>
  <c r="AE187" i="16"/>
  <c r="AE186" i="16"/>
  <c r="AE185" i="16"/>
  <c r="AE184" i="16"/>
  <c r="AE183" i="16"/>
  <c r="AE182" i="16"/>
  <c r="AE181" i="16"/>
  <c r="AE180" i="16"/>
  <c r="AE179" i="16"/>
  <c r="AE178" i="16"/>
  <c r="AE177" i="16"/>
  <c r="AE176" i="16"/>
  <c r="AE175" i="16"/>
  <c r="AE174" i="16"/>
  <c r="AE173" i="16"/>
  <c r="AE172" i="16"/>
  <c r="AE171" i="16"/>
  <c r="AE170" i="16"/>
  <c r="AE169" i="16"/>
  <c r="AE168" i="16"/>
  <c r="AE167" i="16"/>
  <c r="AE166" i="16"/>
  <c r="AE165" i="16"/>
  <c r="AE164" i="16"/>
  <c r="AE163" i="16"/>
  <c r="AE162" i="16"/>
  <c r="AE161" i="16"/>
  <c r="AE160" i="16"/>
  <c r="AE159" i="16"/>
  <c r="AE158" i="16"/>
  <c r="AE157" i="16"/>
  <c r="AE156" i="16"/>
  <c r="AE155" i="16"/>
  <c r="AE154" i="16"/>
  <c r="AE153" i="16"/>
  <c r="AE152" i="16"/>
  <c r="AE151" i="16"/>
  <c r="AE150" i="16"/>
  <c r="AE149" i="16"/>
  <c r="AE148" i="16"/>
  <c r="AE147" i="16"/>
  <c r="AE146" i="16"/>
  <c r="AE145" i="16"/>
  <c r="AE144" i="16"/>
  <c r="AE143" i="16"/>
  <c r="AE142" i="16"/>
  <c r="AE141" i="16"/>
  <c r="AE140" i="16"/>
  <c r="AE139" i="16"/>
  <c r="AE138" i="16"/>
  <c r="AE137" i="16"/>
  <c r="AE136" i="16"/>
  <c r="AC136" i="16"/>
  <c r="AE135" i="16"/>
  <c r="AE134" i="16"/>
  <c r="AE133" i="16"/>
  <c r="AE132" i="16"/>
  <c r="AE131" i="16"/>
  <c r="AE130" i="16"/>
  <c r="AE129" i="16"/>
  <c r="AE128" i="16"/>
  <c r="AE127" i="16"/>
  <c r="AE126" i="16"/>
  <c r="AE125" i="16"/>
  <c r="AE124" i="16"/>
  <c r="AE123" i="16"/>
  <c r="AE122" i="16"/>
  <c r="AE121" i="16"/>
  <c r="AE120" i="16"/>
  <c r="AC120" i="16"/>
  <c r="AE119" i="16"/>
  <c r="AE118" i="16"/>
  <c r="AE117" i="16"/>
  <c r="AE116" i="16"/>
  <c r="AE115" i="16"/>
  <c r="AE114" i="16"/>
  <c r="AE113" i="16"/>
  <c r="AE112" i="16"/>
  <c r="AE111" i="16"/>
  <c r="AE110" i="16"/>
  <c r="AE109" i="16"/>
  <c r="AE108" i="16"/>
  <c r="AE107" i="16"/>
  <c r="AE106" i="16"/>
  <c r="AE105" i="16"/>
  <c r="AE104" i="16"/>
  <c r="AC104" i="16"/>
  <c r="AE103" i="16"/>
  <c r="AE102" i="16"/>
  <c r="AE101" i="16"/>
  <c r="AE100" i="16"/>
  <c r="AE99" i="16"/>
  <c r="AE98" i="16"/>
  <c r="AE97" i="16"/>
  <c r="AE96" i="16"/>
  <c r="AE95" i="16"/>
  <c r="AE94" i="16"/>
  <c r="AE93" i="16"/>
  <c r="AE92" i="16"/>
  <c r="AE91" i="16"/>
  <c r="AE90" i="16"/>
  <c r="AE89" i="16"/>
  <c r="AE88" i="16"/>
  <c r="AC88" i="16"/>
  <c r="AE87" i="16"/>
  <c r="AE86" i="16"/>
  <c r="AE85" i="16"/>
  <c r="AE84" i="16"/>
  <c r="AE83" i="16"/>
  <c r="AE82" i="16"/>
  <c r="AE81" i="16"/>
  <c r="AE80" i="16"/>
  <c r="AE79" i="16"/>
  <c r="AE78" i="16"/>
  <c r="AE77" i="16"/>
  <c r="AE76" i="16"/>
  <c r="AE75" i="16"/>
  <c r="AE74" i="16"/>
  <c r="AE73" i="16"/>
  <c r="AE72" i="16"/>
  <c r="AC72" i="16"/>
  <c r="AE71" i="16"/>
  <c r="AE70" i="16"/>
  <c r="AE69" i="16"/>
  <c r="AE68" i="16"/>
  <c r="AE67" i="16"/>
  <c r="AE66" i="16"/>
  <c r="AE65" i="16"/>
  <c r="AE64" i="16"/>
  <c r="AE63" i="16"/>
  <c r="AE62" i="16"/>
  <c r="AA9" i="21" s="1"/>
  <c r="AE61" i="16"/>
  <c r="AE60" i="16"/>
  <c r="AE59" i="16"/>
  <c r="AE58" i="16"/>
  <c r="AE57" i="16"/>
  <c r="AE56" i="16"/>
  <c r="AC56" i="16"/>
  <c r="AE55" i="16"/>
  <c r="AE54" i="16"/>
  <c r="AE53" i="16"/>
  <c r="AE52" i="16"/>
  <c r="AE51" i="16"/>
  <c r="AE50" i="16"/>
  <c r="AG49" i="16"/>
  <c r="AF49" i="16"/>
  <c r="AG48" i="16"/>
  <c r="AF48" i="16"/>
  <c r="AG47" i="16"/>
  <c r="AF47" i="16"/>
  <c r="AB47" i="16"/>
  <c r="AG46" i="16"/>
  <c r="AF46" i="16"/>
  <c r="AG45" i="16"/>
  <c r="AF45" i="16"/>
  <c r="AG44" i="16"/>
  <c r="AF44" i="16"/>
  <c r="AG43" i="16"/>
  <c r="AF43" i="16"/>
  <c r="AG42" i="16"/>
  <c r="AF42" i="16"/>
  <c r="AG41" i="16"/>
  <c r="AF41" i="16"/>
  <c r="AG40" i="16"/>
  <c r="AF40" i="16"/>
  <c r="AG39" i="16"/>
  <c r="AF39" i="16"/>
  <c r="AG38" i="16"/>
  <c r="AF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B25" i="16"/>
  <c r="AD3" i="16"/>
  <c r="X225" i="16"/>
  <c r="AD225" i="16" s="1"/>
  <c r="W225" i="16"/>
  <c r="AC225" i="16" s="1"/>
  <c r="V225" i="16"/>
  <c r="AB225" i="16" s="1"/>
  <c r="X224" i="16"/>
  <c r="AD224" i="16" s="1"/>
  <c r="W224" i="16"/>
  <c r="AC224" i="16" s="1"/>
  <c r="V224" i="16"/>
  <c r="AB224" i="16" s="1"/>
  <c r="X223" i="16"/>
  <c r="W223" i="16"/>
  <c r="AC223" i="16" s="1"/>
  <c r="V223" i="16"/>
  <c r="AB223" i="16" s="1"/>
  <c r="X222" i="16"/>
  <c r="AD222" i="16" s="1"/>
  <c r="W222" i="16"/>
  <c r="AC222" i="16" s="1"/>
  <c r="V222" i="16"/>
  <c r="AB222" i="16" s="1"/>
  <c r="X221" i="16"/>
  <c r="AD221" i="16" s="1"/>
  <c r="W221" i="16"/>
  <c r="AC221" i="16" s="1"/>
  <c r="V221" i="16"/>
  <c r="AB221" i="16" s="1"/>
  <c r="X220" i="16"/>
  <c r="AD220" i="16" s="1"/>
  <c r="W220" i="16"/>
  <c r="AC220" i="16" s="1"/>
  <c r="V220" i="16"/>
  <c r="AB220" i="16" s="1"/>
  <c r="X219" i="16"/>
  <c r="AD219" i="16" s="1"/>
  <c r="W219" i="16"/>
  <c r="AC219" i="16" s="1"/>
  <c r="V219" i="16"/>
  <c r="AB219" i="16" s="1"/>
  <c r="X218" i="16"/>
  <c r="AD218" i="16" s="1"/>
  <c r="W218" i="16"/>
  <c r="AC218" i="16" s="1"/>
  <c r="V218" i="16"/>
  <c r="AB218" i="16" s="1"/>
  <c r="X217" i="16"/>
  <c r="AD217" i="16" s="1"/>
  <c r="W217" i="16"/>
  <c r="AC217" i="16" s="1"/>
  <c r="V217" i="16"/>
  <c r="AB217" i="16" s="1"/>
  <c r="X216" i="16"/>
  <c r="AD216" i="16" s="1"/>
  <c r="W216" i="16"/>
  <c r="AC216" i="16" s="1"/>
  <c r="V216" i="16"/>
  <c r="AB216" i="16" s="1"/>
  <c r="X215" i="16"/>
  <c r="W215" i="16"/>
  <c r="AC215" i="16" s="1"/>
  <c r="V215" i="16"/>
  <c r="AB215" i="16" s="1"/>
  <c r="X214" i="16"/>
  <c r="AD214" i="16" s="1"/>
  <c r="W214" i="16"/>
  <c r="AC214" i="16" s="1"/>
  <c r="V214" i="16"/>
  <c r="AB214" i="16" s="1"/>
  <c r="V213" i="16"/>
  <c r="AB213" i="16" s="1"/>
  <c r="V212" i="16"/>
  <c r="AB212" i="16" s="1"/>
  <c r="V211" i="16"/>
  <c r="AB211" i="16" s="1"/>
  <c r="V210" i="16"/>
  <c r="AB210" i="16" s="1"/>
  <c r="V209" i="16"/>
  <c r="AB209" i="16" s="1"/>
  <c r="V208" i="16"/>
  <c r="AB208" i="16" s="1"/>
  <c r="V207" i="16"/>
  <c r="AB207" i="16" s="1"/>
  <c r="V206" i="16"/>
  <c r="AB206" i="16" s="1"/>
  <c r="V205" i="16"/>
  <c r="AB205" i="16" s="1"/>
  <c r="V204" i="16"/>
  <c r="AB204" i="16" s="1"/>
  <c r="V203" i="16"/>
  <c r="AB203" i="16" s="1"/>
  <c r="V202" i="16"/>
  <c r="AB202" i="16" s="1"/>
  <c r="X201" i="16"/>
  <c r="AD201" i="16" s="1"/>
  <c r="W201" i="16"/>
  <c r="AC201" i="16" s="1"/>
  <c r="V201" i="16"/>
  <c r="AB201" i="16" s="1"/>
  <c r="X200" i="16"/>
  <c r="AD200" i="16" s="1"/>
  <c r="W200" i="16"/>
  <c r="AC200" i="16" s="1"/>
  <c r="V200" i="16"/>
  <c r="AB200" i="16" s="1"/>
  <c r="X199" i="16"/>
  <c r="AD199" i="16" s="1"/>
  <c r="W199" i="16"/>
  <c r="AC199" i="16" s="1"/>
  <c r="V199" i="16"/>
  <c r="AB199" i="16" s="1"/>
  <c r="X198" i="16"/>
  <c r="W198" i="16"/>
  <c r="AC198" i="16" s="1"/>
  <c r="V198" i="16"/>
  <c r="AB198" i="16" s="1"/>
  <c r="X197" i="16"/>
  <c r="AD197" i="16" s="1"/>
  <c r="W197" i="16"/>
  <c r="AC197" i="16" s="1"/>
  <c r="V197" i="16"/>
  <c r="AB197" i="16" s="1"/>
  <c r="X196" i="16"/>
  <c r="AD196" i="16" s="1"/>
  <c r="W196" i="16"/>
  <c r="AC196" i="16" s="1"/>
  <c r="V196" i="16"/>
  <c r="AB196" i="16" s="1"/>
  <c r="X195" i="16"/>
  <c r="AD195" i="16" s="1"/>
  <c r="W195" i="16"/>
  <c r="AC195" i="16" s="1"/>
  <c r="V195" i="16"/>
  <c r="AB195" i="16" s="1"/>
  <c r="X194" i="16"/>
  <c r="AD194" i="16" s="1"/>
  <c r="W194" i="16"/>
  <c r="AC194" i="16" s="1"/>
  <c r="V194" i="16"/>
  <c r="AB194" i="16" s="1"/>
  <c r="X193" i="16"/>
  <c r="AD193" i="16" s="1"/>
  <c r="W193" i="16"/>
  <c r="AC193" i="16" s="1"/>
  <c r="V193" i="16"/>
  <c r="AB193" i="16" s="1"/>
  <c r="X192" i="16"/>
  <c r="AD192" i="16" s="1"/>
  <c r="W192" i="16"/>
  <c r="AC192" i="16" s="1"/>
  <c r="V192" i="16"/>
  <c r="AB192" i="16" s="1"/>
  <c r="X191" i="16"/>
  <c r="AD191" i="16" s="1"/>
  <c r="W191" i="16"/>
  <c r="AC191" i="16" s="1"/>
  <c r="V191" i="16"/>
  <c r="AB191" i="16" s="1"/>
  <c r="X190" i="16"/>
  <c r="AD190" i="16" s="1"/>
  <c r="W190" i="16"/>
  <c r="AC190" i="16" s="1"/>
  <c r="V190" i="16"/>
  <c r="AB190" i="16" s="1"/>
  <c r="X189" i="16"/>
  <c r="AD189" i="16" s="1"/>
  <c r="W189" i="16"/>
  <c r="AC189" i="16" s="1"/>
  <c r="V189" i="16"/>
  <c r="AB189" i="16" s="1"/>
  <c r="X188" i="16"/>
  <c r="AD188" i="16" s="1"/>
  <c r="W188" i="16"/>
  <c r="AC188" i="16" s="1"/>
  <c r="V188" i="16"/>
  <c r="AB188" i="16" s="1"/>
  <c r="X187" i="16"/>
  <c r="AD187" i="16" s="1"/>
  <c r="W187" i="16"/>
  <c r="AC187" i="16" s="1"/>
  <c r="V187" i="16"/>
  <c r="AB187" i="16" s="1"/>
  <c r="X186" i="16"/>
  <c r="AD186" i="16" s="1"/>
  <c r="W186" i="16"/>
  <c r="AC186" i="16" s="1"/>
  <c r="V186" i="16"/>
  <c r="AB186" i="16" s="1"/>
  <c r="X185" i="16"/>
  <c r="AD185" i="16" s="1"/>
  <c r="W185" i="16"/>
  <c r="AC185" i="16" s="1"/>
  <c r="V185" i="16"/>
  <c r="AB185" i="16" s="1"/>
  <c r="X184" i="16"/>
  <c r="AD184" i="16" s="1"/>
  <c r="W184" i="16"/>
  <c r="AC184" i="16" s="1"/>
  <c r="V184" i="16"/>
  <c r="AB184" i="16" s="1"/>
  <c r="X183" i="16"/>
  <c r="AD183" i="16" s="1"/>
  <c r="W183" i="16"/>
  <c r="AC183" i="16" s="1"/>
  <c r="V183" i="16"/>
  <c r="AB183" i="16" s="1"/>
  <c r="X182" i="16"/>
  <c r="AD182" i="16" s="1"/>
  <c r="W182" i="16"/>
  <c r="AC182" i="16" s="1"/>
  <c r="V182" i="16"/>
  <c r="AB182" i="16" s="1"/>
  <c r="X181" i="16"/>
  <c r="AD181" i="16" s="1"/>
  <c r="W181" i="16"/>
  <c r="AC181" i="16" s="1"/>
  <c r="V181" i="16"/>
  <c r="AB181" i="16" s="1"/>
  <c r="X180" i="16"/>
  <c r="AD180" i="16" s="1"/>
  <c r="W180" i="16"/>
  <c r="AC180" i="16" s="1"/>
  <c r="V180" i="16"/>
  <c r="AB180" i="16" s="1"/>
  <c r="X179" i="16"/>
  <c r="AD179" i="16" s="1"/>
  <c r="W179" i="16"/>
  <c r="AC179" i="16" s="1"/>
  <c r="V179" i="16"/>
  <c r="AB179" i="16" s="1"/>
  <c r="X178" i="16"/>
  <c r="AD178" i="16" s="1"/>
  <c r="W178" i="16"/>
  <c r="AC178" i="16" s="1"/>
  <c r="V178" i="16"/>
  <c r="AB178" i="16" s="1"/>
  <c r="X177" i="16"/>
  <c r="AD177" i="16" s="1"/>
  <c r="W177" i="16"/>
  <c r="AC177" i="16" s="1"/>
  <c r="V177" i="16"/>
  <c r="AB177" i="16" s="1"/>
  <c r="X176" i="16"/>
  <c r="AD176" i="16" s="1"/>
  <c r="W176" i="16"/>
  <c r="AC176" i="16" s="1"/>
  <c r="V176" i="16"/>
  <c r="AB176" i="16" s="1"/>
  <c r="X175" i="16"/>
  <c r="AD175" i="16" s="1"/>
  <c r="W175" i="16"/>
  <c r="AC175" i="16" s="1"/>
  <c r="V175" i="16"/>
  <c r="AB175" i="16" s="1"/>
  <c r="X174" i="16"/>
  <c r="AD174" i="16" s="1"/>
  <c r="W174" i="16"/>
  <c r="AC174" i="16" s="1"/>
  <c r="V174" i="16"/>
  <c r="AB174" i="16" s="1"/>
  <c r="X173" i="16"/>
  <c r="AD173" i="16" s="1"/>
  <c r="W173" i="16"/>
  <c r="AC173" i="16" s="1"/>
  <c r="V173" i="16"/>
  <c r="AB173" i="16" s="1"/>
  <c r="X172" i="16"/>
  <c r="AD172" i="16" s="1"/>
  <c r="W172" i="16"/>
  <c r="AC172" i="16" s="1"/>
  <c r="V172" i="16"/>
  <c r="AB172" i="16" s="1"/>
  <c r="X171" i="16"/>
  <c r="AD171" i="16" s="1"/>
  <c r="W171" i="16"/>
  <c r="AC171" i="16" s="1"/>
  <c r="V171" i="16"/>
  <c r="AB171" i="16" s="1"/>
  <c r="X170" i="16"/>
  <c r="AD170" i="16" s="1"/>
  <c r="W170" i="16"/>
  <c r="AC170" i="16" s="1"/>
  <c r="V170" i="16"/>
  <c r="AB170" i="16" s="1"/>
  <c r="X169" i="16"/>
  <c r="AD169" i="16" s="1"/>
  <c r="W169" i="16"/>
  <c r="AC169" i="16" s="1"/>
  <c r="V169" i="16"/>
  <c r="AB169" i="16" s="1"/>
  <c r="X168" i="16"/>
  <c r="AD168" i="16" s="1"/>
  <c r="W168" i="16"/>
  <c r="AC168" i="16" s="1"/>
  <c r="V168" i="16"/>
  <c r="AB168" i="16" s="1"/>
  <c r="X167" i="16"/>
  <c r="AD167" i="16" s="1"/>
  <c r="W167" i="16"/>
  <c r="AC167" i="16" s="1"/>
  <c r="V167" i="16"/>
  <c r="AB167" i="16" s="1"/>
  <c r="X166" i="16"/>
  <c r="AD166" i="16" s="1"/>
  <c r="W166" i="16"/>
  <c r="AC166" i="16" s="1"/>
  <c r="V166" i="16"/>
  <c r="AB166" i="16" s="1"/>
  <c r="X165" i="16"/>
  <c r="AD165" i="16" s="1"/>
  <c r="W165" i="16"/>
  <c r="AC165" i="16" s="1"/>
  <c r="V165" i="16"/>
  <c r="AB165" i="16" s="1"/>
  <c r="X164" i="16"/>
  <c r="AD164" i="16" s="1"/>
  <c r="W164" i="16"/>
  <c r="AC164" i="16" s="1"/>
  <c r="V164" i="16"/>
  <c r="AB164" i="16" s="1"/>
  <c r="X163" i="16"/>
  <c r="AD163" i="16" s="1"/>
  <c r="W163" i="16"/>
  <c r="AC163" i="16" s="1"/>
  <c r="V163" i="16"/>
  <c r="AB163" i="16" s="1"/>
  <c r="X162" i="16"/>
  <c r="AD162" i="16" s="1"/>
  <c r="W162" i="16"/>
  <c r="AC162" i="16" s="1"/>
  <c r="V162" i="16"/>
  <c r="AB162" i="16" s="1"/>
  <c r="X161" i="16"/>
  <c r="AD161" i="16" s="1"/>
  <c r="W161" i="16"/>
  <c r="AC161" i="16" s="1"/>
  <c r="V161" i="16"/>
  <c r="AB161" i="16" s="1"/>
  <c r="X160" i="16"/>
  <c r="AD160" i="16" s="1"/>
  <c r="W160" i="16"/>
  <c r="AC160" i="16" s="1"/>
  <c r="V160" i="16"/>
  <c r="AB160" i="16" s="1"/>
  <c r="X159" i="16"/>
  <c r="AD159" i="16" s="1"/>
  <c r="W159" i="16"/>
  <c r="AC159" i="16" s="1"/>
  <c r="V159" i="16"/>
  <c r="AB159" i="16" s="1"/>
  <c r="X158" i="16"/>
  <c r="AD158" i="16" s="1"/>
  <c r="W158" i="16"/>
  <c r="AC158" i="16" s="1"/>
  <c r="V158" i="16"/>
  <c r="AB158" i="16" s="1"/>
  <c r="X157" i="16"/>
  <c r="AD157" i="16" s="1"/>
  <c r="W157" i="16"/>
  <c r="AC157" i="16" s="1"/>
  <c r="V157" i="16"/>
  <c r="AB157" i="16" s="1"/>
  <c r="X156" i="16"/>
  <c r="AD156" i="16" s="1"/>
  <c r="W156" i="16"/>
  <c r="AC156" i="16" s="1"/>
  <c r="V156" i="16"/>
  <c r="AB156" i="16" s="1"/>
  <c r="X155" i="16"/>
  <c r="AD155" i="16" s="1"/>
  <c r="W155" i="16"/>
  <c r="AC155" i="16" s="1"/>
  <c r="V155" i="16"/>
  <c r="AB155" i="16" s="1"/>
  <c r="X154" i="16"/>
  <c r="AD154" i="16" s="1"/>
  <c r="W154" i="16"/>
  <c r="AC154" i="16" s="1"/>
  <c r="V154" i="16"/>
  <c r="AB154" i="16" s="1"/>
  <c r="X153" i="16"/>
  <c r="AD153" i="16" s="1"/>
  <c r="W153" i="16"/>
  <c r="AC153" i="16" s="1"/>
  <c r="V153" i="16"/>
  <c r="AB153" i="16" s="1"/>
  <c r="X152" i="16"/>
  <c r="AD152" i="16" s="1"/>
  <c r="W152" i="16"/>
  <c r="AC152" i="16" s="1"/>
  <c r="V152" i="16"/>
  <c r="AB152" i="16" s="1"/>
  <c r="X151" i="16"/>
  <c r="AD151" i="16" s="1"/>
  <c r="W151" i="16"/>
  <c r="AC151" i="16" s="1"/>
  <c r="V151" i="16"/>
  <c r="AB151" i="16" s="1"/>
  <c r="X150" i="16"/>
  <c r="AD150" i="16" s="1"/>
  <c r="W150" i="16"/>
  <c r="AC150" i="16" s="1"/>
  <c r="V150" i="16"/>
  <c r="AB150" i="16" s="1"/>
  <c r="X149" i="16"/>
  <c r="AD149" i="16" s="1"/>
  <c r="W149" i="16"/>
  <c r="AC149" i="16" s="1"/>
  <c r="V149" i="16"/>
  <c r="AB149" i="16" s="1"/>
  <c r="X148" i="16"/>
  <c r="AD148" i="16" s="1"/>
  <c r="W148" i="16"/>
  <c r="AC148" i="16" s="1"/>
  <c r="V148" i="16"/>
  <c r="AB148" i="16" s="1"/>
  <c r="X147" i="16"/>
  <c r="AD147" i="16" s="1"/>
  <c r="W147" i="16"/>
  <c r="AC147" i="16" s="1"/>
  <c r="V147" i="16"/>
  <c r="AB147" i="16" s="1"/>
  <c r="X146" i="16"/>
  <c r="AD146" i="16" s="1"/>
  <c r="W146" i="16"/>
  <c r="AC146" i="16" s="1"/>
  <c r="V146" i="16"/>
  <c r="AB146" i="16" s="1"/>
  <c r="X145" i="16"/>
  <c r="AD145" i="16" s="1"/>
  <c r="W145" i="16"/>
  <c r="AC145" i="16" s="1"/>
  <c r="V145" i="16"/>
  <c r="AB145" i="16" s="1"/>
  <c r="X144" i="16"/>
  <c r="AD144" i="16" s="1"/>
  <c r="W144" i="16"/>
  <c r="AC144" i="16" s="1"/>
  <c r="V144" i="16"/>
  <c r="AB144" i="16" s="1"/>
  <c r="X143" i="16"/>
  <c r="AD143" i="16" s="1"/>
  <c r="W143" i="16"/>
  <c r="AC143" i="16" s="1"/>
  <c r="V143" i="16"/>
  <c r="AB143" i="16" s="1"/>
  <c r="X142" i="16"/>
  <c r="AD142" i="16" s="1"/>
  <c r="W142" i="16"/>
  <c r="AC142" i="16" s="1"/>
  <c r="V142" i="16"/>
  <c r="AB142" i="16" s="1"/>
  <c r="X141" i="16"/>
  <c r="AD141" i="16" s="1"/>
  <c r="W141" i="16"/>
  <c r="AC141" i="16" s="1"/>
  <c r="V141" i="16"/>
  <c r="AB141" i="16" s="1"/>
  <c r="X140" i="16"/>
  <c r="AD140" i="16" s="1"/>
  <c r="W140" i="16"/>
  <c r="AC140" i="16" s="1"/>
  <c r="V140" i="16"/>
  <c r="AB140" i="16" s="1"/>
  <c r="X139" i="16"/>
  <c r="AD139" i="16" s="1"/>
  <c r="W139" i="16"/>
  <c r="AC139" i="16" s="1"/>
  <c r="V139" i="16"/>
  <c r="AB139" i="16" s="1"/>
  <c r="X138" i="16"/>
  <c r="AD138" i="16" s="1"/>
  <c r="W138" i="16"/>
  <c r="AC138" i="16" s="1"/>
  <c r="V138" i="16"/>
  <c r="AB138" i="16" s="1"/>
  <c r="X137" i="16"/>
  <c r="AD137" i="16" s="1"/>
  <c r="W137" i="16"/>
  <c r="AC137" i="16" s="1"/>
  <c r="V137" i="16"/>
  <c r="AB137" i="16" s="1"/>
  <c r="X136" i="16"/>
  <c r="AD136" i="16" s="1"/>
  <c r="W136" i="16"/>
  <c r="V136" i="16"/>
  <c r="AB136" i="16" s="1"/>
  <c r="X135" i="16"/>
  <c r="AD135" i="16" s="1"/>
  <c r="W135" i="16"/>
  <c r="AC135" i="16" s="1"/>
  <c r="V135" i="16"/>
  <c r="AB135" i="16" s="1"/>
  <c r="X134" i="16"/>
  <c r="AD134" i="16" s="1"/>
  <c r="W134" i="16"/>
  <c r="AC134" i="16" s="1"/>
  <c r="V134" i="16"/>
  <c r="AB134" i="16" s="1"/>
  <c r="X133" i="16"/>
  <c r="AD133" i="16" s="1"/>
  <c r="W133" i="16"/>
  <c r="AC133" i="16" s="1"/>
  <c r="V133" i="16"/>
  <c r="AB133" i="16" s="1"/>
  <c r="X132" i="16"/>
  <c r="AD132" i="16" s="1"/>
  <c r="W132" i="16"/>
  <c r="AC132" i="16" s="1"/>
  <c r="V132" i="16"/>
  <c r="AB132" i="16" s="1"/>
  <c r="X131" i="16"/>
  <c r="AD131" i="16" s="1"/>
  <c r="W131" i="16"/>
  <c r="AC131" i="16" s="1"/>
  <c r="V131" i="16"/>
  <c r="AB131" i="16" s="1"/>
  <c r="X130" i="16"/>
  <c r="AD130" i="16" s="1"/>
  <c r="W130" i="16"/>
  <c r="AC130" i="16" s="1"/>
  <c r="V130" i="16"/>
  <c r="AB130" i="16" s="1"/>
  <c r="X129" i="16"/>
  <c r="AD129" i="16" s="1"/>
  <c r="W129" i="16"/>
  <c r="AC129" i="16" s="1"/>
  <c r="V129" i="16"/>
  <c r="AB129" i="16" s="1"/>
  <c r="X128" i="16"/>
  <c r="AD128" i="16" s="1"/>
  <c r="W128" i="16"/>
  <c r="AC128" i="16" s="1"/>
  <c r="V128" i="16"/>
  <c r="AB128" i="16" s="1"/>
  <c r="X127" i="16"/>
  <c r="AD127" i="16" s="1"/>
  <c r="W127" i="16"/>
  <c r="AC127" i="16" s="1"/>
  <c r="V127" i="16"/>
  <c r="AB127" i="16" s="1"/>
  <c r="X126" i="16"/>
  <c r="AD126" i="16" s="1"/>
  <c r="W126" i="16"/>
  <c r="AC126" i="16" s="1"/>
  <c r="V126" i="16"/>
  <c r="AB126" i="16" s="1"/>
  <c r="X125" i="16"/>
  <c r="AD125" i="16" s="1"/>
  <c r="W125" i="16"/>
  <c r="AC125" i="16" s="1"/>
  <c r="V125" i="16"/>
  <c r="AB125" i="16" s="1"/>
  <c r="X124" i="16"/>
  <c r="AD124" i="16" s="1"/>
  <c r="W124" i="16"/>
  <c r="AC124" i="16" s="1"/>
  <c r="V124" i="16"/>
  <c r="AB124" i="16" s="1"/>
  <c r="X123" i="16"/>
  <c r="AD123" i="16" s="1"/>
  <c r="W123" i="16"/>
  <c r="AC123" i="16" s="1"/>
  <c r="V123" i="16"/>
  <c r="AB123" i="16" s="1"/>
  <c r="X122" i="16"/>
  <c r="AD122" i="16" s="1"/>
  <c r="W122" i="16"/>
  <c r="AC122" i="16" s="1"/>
  <c r="V122" i="16"/>
  <c r="AB122" i="16" s="1"/>
  <c r="X121" i="16"/>
  <c r="AD121" i="16" s="1"/>
  <c r="W121" i="16"/>
  <c r="AC121" i="16" s="1"/>
  <c r="V121" i="16"/>
  <c r="AB121" i="16" s="1"/>
  <c r="X120" i="16"/>
  <c r="AD120" i="16" s="1"/>
  <c r="W120" i="16"/>
  <c r="V120" i="16"/>
  <c r="AB120" i="16" s="1"/>
  <c r="X119" i="16"/>
  <c r="AD119" i="16" s="1"/>
  <c r="W119" i="16"/>
  <c r="AC119" i="16" s="1"/>
  <c r="V119" i="16"/>
  <c r="AB119" i="16" s="1"/>
  <c r="X118" i="16"/>
  <c r="AD118" i="16" s="1"/>
  <c r="W118" i="16"/>
  <c r="AC118" i="16" s="1"/>
  <c r="V118" i="16"/>
  <c r="AB118" i="16" s="1"/>
  <c r="X117" i="16"/>
  <c r="AD117" i="16" s="1"/>
  <c r="W117" i="16"/>
  <c r="AC117" i="16" s="1"/>
  <c r="V117" i="16"/>
  <c r="AB117" i="16" s="1"/>
  <c r="X116" i="16"/>
  <c r="AD116" i="16" s="1"/>
  <c r="W116" i="16"/>
  <c r="AC116" i="16" s="1"/>
  <c r="V116" i="16"/>
  <c r="AB116" i="16" s="1"/>
  <c r="X115" i="16"/>
  <c r="AD115" i="16" s="1"/>
  <c r="W115" i="16"/>
  <c r="AC115" i="16" s="1"/>
  <c r="V115" i="16"/>
  <c r="AB115" i="16" s="1"/>
  <c r="X114" i="16"/>
  <c r="AD114" i="16" s="1"/>
  <c r="W114" i="16"/>
  <c r="AC114" i="16" s="1"/>
  <c r="V114" i="16"/>
  <c r="AB114" i="16" s="1"/>
  <c r="X113" i="16"/>
  <c r="AD113" i="16" s="1"/>
  <c r="W113" i="16"/>
  <c r="AC113" i="16" s="1"/>
  <c r="V113" i="16"/>
  <c r="AB113" i="16" s="1"/>
  <c r="X112" i="16"/>
  <c r="AD112" i="16" s="1"/>
  <c r="W112" i="16"/>
  <c r="AC112" i="16" s="1"/>
  <c r="V112" i="16"/>
  <c r="AB112" i="16" s="1"/>
  <c r="X111" i="16"/>
  <c r="AD111" i="16" s="1"/>
  <c r="W111" i="16"/>
  <c r="AC111" i="16" s="1"/>
  <c r="V111" i="16"/>
  <c r="AB111" i="16" s="1"/>
  <c r="X110" i="16"/>
  <c r="AD110" i="16" s="1"/>
  <c r="W110" i="16"/>
  <c r="AC110" i="16" s="1"/>
  <c r="V110" i="16"/>
  <c r="AB110" i="16" s="1"/>
  <c r="X109" i="16"/>
  <c r="AD109" i="16" s="1"/>
  <c r="W109" i="16"/>
  <c r="AC109" i="16" s="1"/>
  <c r="V109" i="16"/>
  <c r="AB109" i="16" s="1"/>
  <c r="X108" i="16"/>
  <c r="AD108" i="16" s="1"/>
  <c r="W108" i="16"/>
  <c r="AC108" i="16" s="1"/>
  <c r="V108" i="16"/>
  <c r="AB108" i="16" s="1"/>
  <c r="X107" i="16"/>
  <c r="AD107" i="16" s="1"/>
  <c r="W107" i="16"/>
  <c r="AC107" i="16" s="1"/>
  <c r="V107" i="16"/>
  <c r="AB107" i="16" s="1"/>
  <c r="X106" i="16"/>
  <c r="AD106" i="16" s="1"/>
  <c r="W106" i="16"/>
  <c r="AC106" i="16" s="1"/>
  <c r="V106" i="16"/>
  <c r="AB106" i="16" s="1"/>
  <c r="X105" i="16"/>
  <c r="AD105" i="16" s="1"/>
  <c r="W105" i="16"/>
  <c r="AC105" i="16" s="1"/>
  <c r="V105" i="16"/>
  <c r="AB105" i="16" s="1"/>
  <c r="X104" i="16"/>
  <c r="AD104" i="16" s="1"/>
  <c r="W104" i="16"/>
  <c r="V104" i="16"/>
  <c r="AB104" i="16" s="1"/>
  <c r="X103" i="16"/>
  <c r="AD103" i="16" s="1"/>
  <c r="W103" i="16"/>
  <c r="AC103" i="16" s="1"/>
  <c r="V103" i="16"/>
  <c r="AB103" i="16" s="1"/>
  <c r="X102" i="16"/>
  <c r="AD102" i="16" s="1"/>
  <c r="W102" i="16"/>
  <c r="AC102" i="16" s="1"/>
  <c r="V102" i="16"/>
  <c r="AB102" i="16" s="1"/>
  <c r="X101" i="16"/>
  <c r="AD101" i="16" s="1"/>
  <c r="W101" i="16"/>
  <c r="AC101" i="16" s="1"/>
  <c r="V101" i="16"/>
  <c r="AB101" i="16" s="1"/>
  <c r="X100" i="16"/>
  <c r="AD100" i="16" s="1"/>
  <c r="W100" i="16"/>
  <c r="AC100" i="16" s="1"/>
  <c r="V100" i="16"/>
  <c r="AB100" i="16" s="1"/>
  <c r="X99" i="16"/>
  <c r="AD99" i="16" s="1"/>
  <c r="W99" i="16"/>
  <c r="AC99" i="16" s="1"/>
  <c r="V99" i="16"/>
  <c r="AB99" i="16" s="1"/>
  <c r="X98" i="16"/>
  <c r="AD98" i="16" s="1"/>
  <c r="W98" i="16"/>
  <c r="AC98" i="16" s="1"/>
  <c r="V98" i="16"/>
  <c r="AB98" i="16" s="1"/>
  <c r="X97" i="16"/>
  <c r="AD97" i="16" s="1"/>
  <c r="W97" i="16"/>
  <c r="AC97" i="16" s="1"/>
  <c r="V97" i="16"/>
  <c r="AB97" i="16" s="1"/>
  <c r="X96" i="16"/>
  <c r="AD96" i="16" s="1"/>
  <c r="W96" i="16"/>
  <c r="AC96" i="16" s="1"/>
  <c r="V96" i="16"/>
  <c r="AB96" i="16" s="1"/>
  <c r="X95" i="16"/>
  <c r="AD95" i="16" s="1"/>
  <c r="W95" i="16"/>
  <c r="AC95" i="16" s="1"/>
  <c r="V95" i="16"/>
  <c r="AB95" i="16" s="1"/>
  <c r="X94" i="16"/>
  <c r="AD94" i="16" s="1"/>
  <c r="W94" i="16"/>
  <c r="AC94" i="16" s="1"/>
  <c r="V94" i="16"/>
  <c r="AB94" i="16" s="1"/>
  <c r="X93" i="16"/>
  <c r="AD93" i="16" s="1"/>
  <c r="W93" i="16"/>
  <c r="AC93" i="16" s="1"/>
  <c r="V93" i="16"/>
  <c r="AB93" i="16" s="1"/>
  <c r="X92" i="16"/>
  <c r="AD92" i="16" s="1"/>
  <c r="W92" i="16"/>
  <c r="AC92" i="16" s="1"/>
  <c r="V92" i="16"/>
  <c r="AB92" i="16" s="1"/>
  <c r="X91" i="16"/>
  <c r="AD91" i="16" s="1"/>
  <c r="W91" i="16"/>
  <c r="AC91" i="16" s="1"/>
  <c r="V91" i="16"/>
  <c r="AB91" i="16" s="1"/>
  <c r="X90" i="16"/>
  <c r="AD90" i="16" s="1"/>
  <c r="W90" i="16"/>
  <c r="AC90" i="16" s="1"/>
  <c r="V90" i="16"/>
  <c r="AB90" i="16" s="1"/>
  <c r="X89" i="16"/>
  <c r="AD89" i="16" s="1"/>
  <c r="W89" i="16"/>
  <c r="AC89" i="16" s="1"/>
  <c r="V89" i="16"/>
  <c r="AB89" i="16" s="1"/>
  <c r="X88" i="16"/>
  <c r="AD88" i="16" s="1"/>
  <c r="W88" i="16"/>
  <c r="V88" i="16"/>
  <c r="AB88" i="16" s="1"/>
  <c r="X87" i="16"/>
  <c r="AD87" i="16" s="1"/>
  <c r="W87" i="16"/>
  <c r="AC87" i="16" s="1"/>
  <c r="V87" i="16"/>
  <c r="AB87" i="16" s="1"/>
  <c r="X86" i="16"/>
  <c r="AD86" i="16" s="1"/>
  <c r="W86" i="16"/>
  <c r="AC86" i="16" s="1"/>
  <c r="V86" i="16"/>
  <c r="AB86" i="16" s="1"/>
  <c r="X85" i="16"/>
  <c r="AD85" i="16" s="1"/>
  <c r="W85" i="16"/>
  <c r="AC85" i="16" s="1"/>
  <c r="V85" i="16"/>
  <c r="AB85" i="16" s="1"/>
  <c r="X84" i="16"/>
  <c r="AD84" i="16" s="1"/>
  <c r="W84" i="16"/>
  <c r="AC84" i="16" s="1"/>
  <c r="V84" i="16"/>
  <c r="AB84" i="16" s="1"/>
  <c r="X83" i="16"/>
  <c r="AD83" i="16" s="1"/>
  <c r="W83" i="16"/>
  <c r="AC83" i="16" s="1"/>
  <c r="V83" i="16"/>
  <c r="AB83" i="16" s="1"/>
  <c r="X82" i="16"/>
  <c r="AD82" i="16" s="1"/>
  <c r="W82" i="16"/>
  <c r="AC82" i="16" s="1"/>
  <c r="V82" i="16"/>
  <c r="AB82" i="16" s="1"/>
  <c r="X81" i="16"/>
  <c r="AD81" i="16" s="1"/>
  <c r="W81" i="16"/>
  <c r="AC81" i="16" s="1"/>
  <c r="V81" i="16"/>
  <c r="AB81" i="16" s="1"/>
  <c r="X80" i="16"/>
  <c r="AD80" i="16" s="1"/>
  <c r="W80" i="16"/>
  <c r="AC80" i="16" s="1"/>
  <c r="V80" i="16"/>
  <c r="AB80" i="16" s="1"/>
  <c r="X79" i="16"/>
  <c r="AD79" i="16" s="1"/>
  <c r="W79" i="16"/>
  <c r="AC79" i="16" s="1"/>
  <c r="V79" i="16"/>
  <c r="AB79" i="16" s="1"/>
  <c r="X78" i="16"/>
  <c r="AD78" i="16" s="1"/>
  <c r="W78" i="16"/>
  <c r="AC78" i="16" s="1"/>
  <c r="V78" i="16"/>
  <c r="AB78" i="16" s="1"/>
  <c r="X77" i="16"/>
  <c r="AD77" i="16" s="1"/>
  <c r="W77" i="16"/>
  <c r="AC77" i="16" s="1"/>
  <c r="V77" i="16"/>
  <c r="AB77" i="16" s="1"/>
  <c r="X76" i="16"/>
  <c r="AD76" i="16" s="1"/>
  <c r="W76" i="16"/>
  <c r="AC76" i="16" s="1"/>
  <c r="V76" i="16"/>
  <c r="AB76" i="16" s="1"/>
  <c r="X75" i="16"/>
  <c r="AD75" i="16" s="1"/>
  <c r="W75" i="16"/>
  <c r="AC75" i="16" s="1"/>
  <c r="V75" i="16"/>
  <c r="AB75" i="16" s="1"/>
  <c r="X74" i="16"/>
  <c r="AD74" i="16" s="1"/>
  <c r="W74" i="16"/>
  <c r="AC74" i="16" s="1"/>
  <c r="V74" i="16"/>
  <c r="AB74" i="16" s="1"/>
  <c r="X73" i="16"/>
  <c r="AD73" i="16" s="1"/>
  <c r="W73" i="16"/>
  <c r="AC73" i="16" s="1"/>
  <c r="V73" i="16"/>
  <c r="AB73" i="16" s="1"/>
  <c r="X72" i="16"/>
  <c r="AD72" i="16" s="1"/>
  <c r="W72" i="16"/>
  <c r="V72" i="16"/>
  <c r="AB72" i="16" s="1"/>
  <c r="X71" i="16"/>
  <c r="AD71" i="16" s="1"/>
  <c r="W71" i="16"/>
  <c r="AC71" i="16" s="1"/>
  <c r="V71" i="16"/>
  <c r="AB71" i="16" s="1"/>
  <c r="X70" i="16"/>
  <c r="AD70" i="16" s="1"/>
  <c r="W70" i="16"/>
  <c r="AC70" i="16" s="1"/>
  <c r="V70" i="16"/>
  <c r="AB70" i="16" s="1"/>
  <c r="X69" i="16"/>
  <c r="AD69" i="16" s="1"/>
  <c r="W69" i="16"/>
  <c r="AC69" i="16" s="1"/>
  <c r="V69" i="16"/>
  <c r="AB69" i="16" s="1"/>
  <c r="X68" i="16"/>
  <c r="AD68" i="16" s="1"/>
  <c r="W68" i="16"/>
  <c r="AC68" i="16" s="1"/>
  <c r="V68" i="16"/>
  <c r="AB68" i="16" s="1"/>
  <c r="X67" i="16"/>
  <c r="AD67" i="16" s="1"/>
  <c r="W67" i="16"/>
  <c r="AC67" i="16" s="1"/>
  <c r="V67" i="16"/>
  <c r="AB67" i="16" s="1"/>
  <c r="X66" i="16"/>
  <c r="AD66" i="16" s="1"/>
  <c r="W66" i="16"/>
  <c r="AC66" i="16" s="1"/>
  <c r="V66" i="16"/>
  <c r="AB66" i="16" s="1"/>
  <c r="X65" i="16"/>
  <c r="AD65" i="16" s="1"/>
  <c r="W65" i="16"/>
  <c r="AC65" i="16" s="1"/>
  <c r="V65" i="16"/>
  <c r="AB65" i="16" s="1"/>
  <c r="X64" i="16"/>
  <c r="AD64" i="16" s="1"/>
  <c r="W64" i="16"/>
  <c r="AC64" i="16" s="1"/>
  <c r="V64" i="16"/>
  <c r="AB64" i="16" s="1"/>
  <c r="X63" i="16"/>
  <c r="AD63" i="16" s="1"/>
  <c r="W63" i="16"/>
  <c r="AC63" i="16" s="1"/>
  <c r="V63" i="16"/>
  <c r="AB63" i="16" s="1"/>
  <c r="X62" i="16"/>
  <c r="AD62" i="16" s="1"/>
  <c r="W62" i="16"/>
  <c r="AC62" i="16" s="1"/>
  <c r="V62" i="16"/>
  <c r="AB62" i="16" s="1"/>
  <c r="X61" i="16"/>
  <c r="AD61" i="16" s="1"/>
  <c r="W61" i="16"/>
  <c r="AC61" i="16" s="1"/>
  <c r="V61" i="16"/>
  <c r="AB61" i="16" s="1"/>
  <c r="X60" i="16"/>
  <c r="AD60" i="16" s="1"/>
  <c r="W60" i="16"/>
  <c r="AC60" i="16" s="1"/>
  <c r="V60" i="16"/>
  <c r="AB60" i="16" s="1"/>
  <c r="X59" i="16"/>
  <c r="AD59" i="16" s="1"/>
  <c r="W59" i="16"/>
  <c r="AC59" i="16" s="1"/>
  <c r="V59" i="16"/>
  <c r="AB59" i="16" s="1"/>
  <c r="X58" i="16"/>
  <c r="AD58" i="16" s="1"/>
  <c r="W58" i="16"/>
  <c r="AC58" i="16" s="1"/>
  <c r="V58" i="16"/>
  <c r="AB58" i="16" s="1"/>
  <c r="X57" i="16"/>
  <c r="AD57" i="16" s="1"/>
  <c r="W57" i="16"/>
  <c r="AC57" i="16" s="1"/>
  <c r="V57" i="16"/>
  <c r="AB57" i="16" s="1"/>
  <c r="X56" i="16"/>
  <c r="AD56" i="16" s="1"/>
  <c r="W56" i="16"/>
  <c r="V56" i="16"/>
  <c r="AB56" i="16" s="1"/>
  <c r="X55" i="16"/>
  <c r="AD55" i="16" s="1"/>
  <c r="W55" i="16"/>
  <c r="AC55" i="16" s="1"/>
  <c r="V55" i="16"/>
  <c r="AB55" i="16" s="1"/>
  <c r="X54" i="16"/>
  <c r="AD54" i="16" s="1"/>
  <c r="W54" i="16"/>
  <c r="AC54" i="16" s="1"/>
  <c r="V54" i="16"/>
  <c r="AB54" i="16" s="1"/>
  <c r="X53" i="16"/>
  <c r="AD53" i="16" s="1"/>
  <c r="W53" i="16"/>
  <c r="AC53" i="16" s="1"/>
  <c r="V53" i="16"/>
  <c r="AB53" i="16" s="1"/>
  <c r="X52" i="16"/>
  <c r="AD52" i="16" s="1"/>
  <c r="W52" i="16"/>
  <c r="AC52" i="16" s="1"/>
  <c r="V52" i="16"/>
  <c r="AB52" i="16" s="1"/>
  <c r="X51" i="16"/>
  <c r="AD51" i="16" s="1"/>
  <c r="W51" i="16"/>
  <c r="AC51" i="16" s="1"/>
  <c r="V51" i="16"/>
  <c r="AB51" i="16" s="1"/>
  <c r="X50" i="16"/>
  <c r="AD50" i="16" s="1"/>
  <c r="W50" i="16"/>
  <c r="AC50" i="16" s="1"/>
  <c r="V50" i="16"/>
  <c r="AB50" i="16" s="1"/>
  <c r="X49" i="16"/>
  <c r="AD49" i="16" s="1"/>
  <c r="W49" i="16"/>
  <c r="AC49" i="16" s="1"/>
  <c r="V49" i="16"/>
  <c r="AB49" i="16" s="1"/>
  <c r="X48" i="16"/>
  <c r="AD48" i="16" s="1"/>
  <c r="W48" i="16"/>
  <c r="AC48" i="16" s="1"/>
  <c r="V48" i="16"/>
  <c r="AB48" i="16" s="1"/>
  <c r="X47" i="16"/>
  <c r="AD47" i="16" s="1"/>
  <c r="W47" i="16"/>
  <c r="AC47" i="16" s="1"/>
  <c r="V47" i="16"/>
  <c r="X46" i="16"/>
  <c r="AD46" i="16" s="1"/>
  <c r="W46" i="16"/>
  <c r="AC46" i="16" s="1"/>
  <c r="V46" i="16"/>
  <c r="AB46" i="16" s="1"/>
  <c r="X45" i="16"/>
  <c r="AD45" i="16" s="1"/>
  <c r="W45" i="16"/>
  <c r="AC45" i="16" s="1"/>
  <c r="V45" i="16"/>
  <c r="AB45" i="16" s="1"/>
  <c r="X44" i="16"/>
  <c r="AD44" i="16" s="1"/>
  <c r="W44" i="16"/>
  <c r="AC44" i="16" s="1"/>
  <c r="V44" i="16"/>
  <c r="AB44" i="16" s="1"/>
  <c r="X43" i="16"/>
  <c r="AD43" i="16" s="1"/>
  <c r="W43" i="16"/>
  <c r="AC43" i="16" s="1"/>
  <c r="V43" i="16"/>
  <c r="AB43" i="16" s="1"/>
  <c r="X42" i="16"/>
  <c r="AD42" i="16" s="1"/>
  <c r="W42" i="16"/>
  <c r="AC42" i="16" s="1"/>
  <c r="V42" i="16"/>
  <c r="AB42" i="16" s="1"/>
  <c r="X41" i="16"/>
  <c r="AD41" i="16" s="1"/>
  <c r="W41" i="16"/>
  <c r="AC41" i="16" s="1"/>
  <c r="V41" i="16"/>
  <c r="AB41" i="16" s="1"/>
  <c r="X40" i="16"/>
  <c r="AD40" i="16" s="1"/>
  <c r="W40" i="16"/>
  <c r="AC40" i="16" s="1"/>
  <c r="V40" i="16"/>
  <c r="AB40" i="16" s="1"/>
  <c r="X39" i="16"/>
  <c r="AD39" i="16" s="1"/>
  <c r="W39" i="16"/>
  <c r="AC39" i="16" s="1"/>
  <c r="V39" i="16"/>
  <c r="AB39" i="16" s="1"/>
  <c r="X38" i="16"/>
  <c r="AD38" i="16" s="1"/>
  <c r="W38" i="16"/>
  <c r="AC38" i="16" s="1"/>
  <c r="V38" i="16"/>
  <c r="AB38" i="16" s="1"/>
  <c r="X37" i="16"/>
  <c r="AD37" i="16" s="1"/>
  <c r="W37" i="16"/>
  <c r="AC37" i="16" s="1"/>
  <c r="V37" i="16"/>
  <c r="AB37" i="16" s="1"/>
  <c r="X36" i="16"/>
  <c r="AD36" i="16" s="1"/>
  <c r="W36" i="16"/>
  <c r="AC36" i="16" s="1"/>
  <c r="V36" i="16"/>
  <c r="AB36" i="16" s="1"/>
  <c r="X35" i="16"/>
  <c r="AD35" i="16" s="1"/>
  <c r="W35" i="16"/>
  <c r="AC35" i="16" s="1"/>
  <c r="V35" i="16"/>
  <c r="AB35" i="16" s="1"/>
  <c r="X34" i="16"/>
  <c r="AD34" i="16" s="1"/>
  <c r="W34" i="16"/>
  <c r="AC34" i="16" s="1"/>
  <c r="V34" i="16"/>
  <c r="AB34" i="16" s="1"/>
  <c r="X33" i="16"/>
  <c r="AD33" i="16" s="1"/>
  <c r="W33" i="16"/>
  <c r="AC33" i="16" s="1"/>
  <c r="V33" i="16"/>
  <c r="AB33" i="16" s="1"/>
  <c r="X32" i="16"/>
  <c r="AD32" i="16" s="1"/>
  <c r="W32" i="16"/>
  <c r="AC32" i="16" s="1"/>
  <c r="V32" i="16"/>
  <c r="AB32" i="16" s="1"/>
  <c r="X31" i="16"/>
  <c r="AD31" i="16" s="1"/>
  <c r="W31" i="16"/>
  <c r="AC31" i="16" s="1"/>
  <c r="V31" i="16"/>
  <c r="AB31" i="16" s="1"/>
  <c r="X30" i="16"/>
  <c r="AD30" i="16" s="1"/>
  <c r="W30" i="16"/>
  <c r="AC30" i="16" s="1"/>
  <c r="V30" i="16"/>
  <c r="AB30" i="16" s="1"/>
  <c r="X29" i="16"/>
  <c r="AD29" i="16" s="1"/>
  <c r="W29" i="16"/>
  <c r="AC29" i="16" s="1"/>
  <c r="V29" i="16"/>
  <c r="AB29" i="16" s="1"/>
  <c r="X28" i="16"/>
  <c r="AD28" i="16" s="1"/>
  <c r="W28" i="16"/>
  <c r="AC28" i="16" s="1"/>
  <c r="V28" i="16"/>
  <c r="AB28" i="16" s="1"/>
  <c r="X27" i="16"/>
  <c r="AD27" i="16" s="1"/>
  <c r="W27" i="16"/>
  <c r="AC27" i="16" s="1"/>
  <c r="V27" i="16"/>
  <c r="AB27" i="16" s="1"/>
  <c r="X26" i="16"/>
  <c r="AD26" i="16" s="1"/>
  <c r="W26" i="16"/>
  <c r="AC26" i="16" s="1"/>
  <c r="V26" i="16"/>
  <c r="AB26" i="16" s="1"/>
  <c r="X25" i="16"/>
  <c r="AD25" i="16" s="1"/>
  <c r="W25" i="16"/>
  <c r="AC25" i="16" s="1"/>
  <c r="V25" i="16"/>
  <c r="X24" i="16"/>
  <c r="AD24" i="16" s="1"/>
  <c r="W24" i="16"/>
  <c r="AC24" i="16" s="1"/>
  <c r="V24" i="16"/>
  <c r="AB24" i="16" s="1"/>
  <c r="X23" i="16"/>
  <c r="AD23" i="16" s="1"/>
  <c r="W23" i="16"/>
  <c r="AC23" i="16" s="1"/>
  <c r="V23" i="16"/>
  <c r="AB23" i="16" s="1"/>
  <c r="X22" i="16"/>
  <c r="AD22" i="16" s="1"/>
  <c r="W22" i="16"/>
  <c r="AC22" i="16" s="1"/>
  <c r="V22" i="16"/>
  <c r="AB22" i="16" s="1"/>
  <c r="X21" i="16"/>
  <c r="AD21" i="16" s="1"/>
  <c r="W21" i="16"/>
  <c r="AC21" i="16" s="1"/>
  <c r="V21" i="16"/>
  <c r="AB21" i="16" s="1"/>
  <c r="X20" i="16"/>
  <c r="AD20" i="16" s="1"/>
  <c r="W20" i="16"/>
  <c r="AC20" i="16" s="1"/>
  <c r="V20" i="16"/>
  <c r="AB20" i="16" s="1"/>
  <c r="X19" i="16"/>
  <c r="AD19" i="16" s="1"/>
  <c r="W19" i="16"/>
  <c r="AC19" i="16" s="1"/>
  <c r="V19" i="16"/>
  <c r="AB19" i="16" s="1"/>
  <c r="X18" i="16"/>
  <c r="AD18" i="16" s="1"/>
  <c r="W18" i="16"/>
  <c r="AC18" i="16" s="1"/>
  <c r="V18" i="16"/>
  <c r="AB18" i="16" s="1"/>
  <c r="X17" i="16"/>
  <c r="AD17" i="16" s="1"/>
  <c r="W17" i="16"/>
  <c r="AC17" i="16" s="1"/>
  <c r="V17" i="16"/>
  <c r="AB17" i="16" s="1"/>
  <c r="X16" i="16"/>
  <c r="AD16" i="16" s="1"/>
  <c r="W16" i="16"/>
  <c r="AC16" i="16" s="1"/>
  <c r="V16" i="16"/>
  <c r="AB16" i="16" s="1"/>
  <c r="X15" i="16"/>
  <c r="AD15" i="16" s="1"/>
  <c r="W15" i="16"/>
  <c r="AC15" i="16" s="1"/>
  <c r="V15" i="16"/>
  <c r="AB15" i="16" s="1"/>
  <c r="X14" i="16"/>
  <c r="AD14" i="16" s="1"/>
  <c r="W14" i="16"/>
  <c r="AC14" i="16" s="1"/>
  <c r="V14" i="16"/>
  <c r="AB14" i="16" s="1"/>
  <c r="X13" i="16"/>
  <c r="AD13" i="16" s="1"/>
  <c r="W13" i="16"/>
  <c r="AC13" i="16" s="1"/>
  <c r="V13" i="16"/>
  <c r="AB13" i="16" s="1"/>
  <c r="X12" i="16"/>
  <c r="AD12" i="16" s="1"/>
  <c r="W12" i="16"/>
  <c r="AC12" i="16" s="1"/>
  <c r="V12" i="16"/>
  <c r="AB12" i="16" s="1"/>
  <c r="X11" i="16"/>
  <c r="AD11" i="16" s="1"/>
  <c r="W11" i="16"/>
  <c r="AC11" i="16" s="1"/>
  <c r="V11" i="16"/>
  <c r="AB11" i="16" s="1"/>
  <c r="X10" i="16"/>
  <c r="AD10" i="16" s="1"/>
  <c r="W10" i="16"/>
  <c r="AC10" i="16" s="1"/>
  <c r="V10" i="16"/>
  <c r="AB10" i="16" s="1"/>
  <c r="X9" i="16"/>
  <c r="AD9" i="16" s="1"/>
  <c r="W9" i="16"/>
  <c r="AC9" i="16" s="1"/>
  <c r="V9" i="16"/>
  <c r="AB9" i="16" s="1"/>
  <c r="X8" i="16"/>
  <c r="AD8" i="16" s="1"/>
  <c r="W8" i="16"/>
  <c r="AC8" i="16" s="1"/>
  <c r="V8" i="16"/>
  <c r="AB8" i="16" s="1"/>
  <c r="X7" i="16"/>
  <c r="AD7" i="16" s="1"/>
  <c r="W7" i="16"/>
  <c r="AC7" i="16" s="1"/>
  <c r="V7" i="16"/>
  <c r="AB7" i="16" s="1"/>
  <c r="X6" i="16"/>
  <c r="AD6" i="16" s="1"/>
  <c r="W6" i="16"/>
  <c r="AC6" i="16" s="1"/>
  <c r="V6" i="16"/>
  <c r="AB6" i="16" s="1"/>
  <c r="X5" i="16"/>
  <c r="AD5" i="16" s="1"/>
  <c r="W5" i="16"/>
  <c r="AC5" i="16" s="1"/>
  <c r="V5" i="16"/>
  <c r="AB5" i="16" s="1"/>
  <c r="X4" i="16"/>
  <c r="AD4" i="16" s="1"/>
  <c r="W4" i="16"/>
  <c r="AC4" i="16" s="1"/>
  <c r="V4" i="16"/>
  <c r="AB4" i="16" s="1"/>
  <c r="X3" i="16"/>
  <c r="W3" i="16"/>
  <c r="AC3" i="16" s="1"/>
  <c r="V3" i="16"/>
  <c r="AB3" i="16" s="1"/>
  <c r="X2" i="16"/>
  <c r="AD2" i="16" s="1"/>
  <c r="W2" i="16"/>
  <c r="AC2" i="16" s="1"/>
  <c r="V2" i="16"/>
  <c r="AB2" i="16" s="1"/>
  <c r="AD51" i="6"/>
  <c r="AB51" i="6"/>
  <c r="AA51" i="6"/>
  <c r="Z51" i="6"/>
  <c r="X51" i="6"/>
  <c r="W51" i="6"/>
  <c r="V51" i="6"/>
  <c r="U51" i="6"/>
  <c r="AD50" i="6"/>
  <c r="AB50" i="6"/>
  <c r="AA50" i="6"/>
  <c r="Z50" i="6"/>
  <c r="Z50" i="7" s="1"/>
  <c r="X50" i="6"/>
  <c r="W50" i="6"/>
  <c r="V50" i="6"/>
  <c r="U50" i="6"/>
  <c r="AD49" i="6"/>
  <c r="AB49" i="6"/>
  <c r="AA49" i="6"/>
  <c r="AA49" i="7" s="1"/>
  <c r="Z49" i="6"/>
  <c r="X49" i="6"/>
  <c r="W49" i="6"/>
  <c r="V49" i="6"/>
  <c r="U49" i="6"/>
  <c r="AD48" i="6"/>
  <c r="AC48" i="6"/>
  <c r="AB48" i="6"/>
  <c r="AA48" i="6"/>
  <c r="Z48" i="6"/>
  <c r="X48" i="6"/>
  <c r="W48" i="6"/>
  <c r="V48" i="6"/>
  <c r="U48" i="6"/>
  <c r="AD47" i="6"/>
  <c r="AB47" i="6"/>
  <c r="AA47" i="6"/>
  <c r="Z47" i="6"/>
  <c r="X47" i="6"/>
  <c r="W47" i="6"/>
  <c r="V47" i="6"/>
  <c r="U47" i="6"/>
  <c r="AD46" i="6"/>
  <c r="AB46" i="6"/>
  <c r="AA46" i="6"/>
  <c r="Z46" i="6"/>
  <c r="Z46" i="7" s="1"/>
  <c r="X46" i="6"/>
  <c r="W46" i="6"/>
  <c r="V46" i="6"/>
  <c r="U46" i="6"/>
  <c r="AD45" i="6"/>
  <c r="AB45" i="6"/>
  <c r="AA45" i="6"/>
  <c r="Z45" i="6"/>
  <c r="X45" i="6"/>
  <c r="W45" i="6"/>
  <c r="V45" i="6"/>
  <c r="U45" i="6"/>
  <c r="AD44" i="6"/>
  <c r="AB44" i="6"/>
  <c r="AA44" i="6"/>
  <c r="Z44" i="6"/>
  <c r="Z44" i="7" s="1"/>
  <c r="X44" i="6"/>
  <c r="W44" i="6"/>
  <c r="V44" i="6"/>
  <c r="U44" i="6"/>
  <c r="AD43" i="6"/>
  <c r="AB43" i="6"/>
  <c r="AA43" i="6"/>
  <c r="Z43" i="6"/>
  <c r="Z43" i="7" s="1"/>
  <c r="X43" i="6"/>
  <c r="W43" i="6"/>
  <c r="V43" i="6"/>
  <c r="U43" i="6"/>
  <c r="AD42" i="6"/>
  <c r="AB42" i="6"/>
  <c r="AA42" i="6"/>
  <c r="Z42" i="6"/>
  <c r="Z42" i="7" s="1"/>
  <c r="Y42" i="6"/>
  <c r="X42" i="6"/>
  <c r="W42" i="6"/>
  <c r="V42" i="6"/>
  <c r="U42" i="6"/>
  <c r="AD41" i="6"/>
  <c r="AB41" i="6"/>
  <c r="AA41" i="6"/>
  <c r="AA41" i="7" s="1"/>
  <c r="Z41" i="6"/>
  <c r="X41" i="6"/>
  <c r="W41" i="6"/>
  <c r="V41" i="6"/>
  <c r="U41" i="6"/>
  <c r="AD40" i="6"/>
  <c r="AB40" i="6"/>
  <c r="AA40" i="6"/>
  <c r="Z40" i="6"/>
  <c r="X40" i="6"/>
  <c r="W40" i="6"/>
  <c r="V40" i="6"/>
  <c r="U40" i="6"/>
  <c r="AD39" i="6"/>
  <c r="AB39" i="6"/>
  <c r="AA39" i="6"/>
  <c r="Z39" i="6"/>
  <c r="X39" i="6"/>
  <c r="W39" i="6"/>
  <c r="V39" i="6"/>
  <c r="U39" i="6"/>
  <c r="AD38" i="6"/>
  <c r="AB38" i="6"/>
  <c r="AA38" i="6"/>
  <c r="Z38" i="6"/>
  <c r="Z38" i="7" s="1"/>
  <c r="Y38" i="6"/>
  <c r="X38" i="6"/>
  <c r="W38" i="6"/>
  <c r="V38" i="6"/>
  <c r="U38" i="6"/>
  <c r="AD37" i="6"/>
  <c r="AB37" i="6"/>
  <c r="AA37" i="6"/>
  <c r="Z37" i="6"/>
  <c r="X37" i="6"/>
  <c r="W37" i="6"/>
  <c r="V37" i="6"/>
  <c r="U37" i="6"/>
  <c r="AD36" i="6"/>
  <c r="AC36" i="6"/>
  <c r="AB36" i="6"/>
  <c r="AA36" i="6"/>
  <c r="Z36" i="6"/>
  <c r="X36" i="6"/>
  <c r="W36" i="6"/>
  <c r="V36" i="6"/>
  <c r="U36" i="6"/>
  <c r="AD35" i="6"/>
  <c r="AB35" i="6"/>
  <c r="AA35" i="6"/>
  <c r="Z35" i="6"/>
  <c r="X35" i="6"/>
  <c r="W35" i="6"/>
  <c r="V35" i="6"/>
  <c r="U35" i="6"/>
  <c r="AD34" i="6"/>
  <c r="AB34" i="6"/>
  <c r="AA34" i="6"/>
  <c r="Z34" i="6"/>
  <c r="Z34" i="7" s="1"/>
  <c r="X34" i="6"/>
  <c r="W34" i="6"/>
  <c r="V34" i="6"/>
  <c r="U34" i="6"/>
  <c r="AD33" i="6"/>
  <c r="AB33" i="6"/>
  <c r="AA33" i="6"/>
  <c r="AA33" i="7" s="1"/>
  <c r="Z33" i="6"/>
  <c r="X33" i="6"/>
  <c r="W33" i="6"/>
  <c r="V33" i="6"/>
  <c r="U33" i="6"/>
  <c r="AD32" i="6"/>
  <c r="AC32" i="6"/>
  <c r="AB32" i="6"/>
  <c r="AA32" i="6"/>
  <c r="Z32" i="6"/>
  <c r="X32" i="6"/>
  <c r="W32" i="6"/>
  <c r="V32" i="6"/>
  <c r="U32" i="6"/>
  <c r="AD31" i="6"/>
  <c r="AB31" i="6"/>
  <c r="AA31" i="6"/>
  <c r="Z31" i="6"/>
  <c r="X31" i="6"/>
  <c r="W31" i="6"/>
  <c r="V31" i="6"/>
  <c r="U31" i="6"/>
  <c r="AD30" i="6"/>
  <c r="AB30" i="6"/>
  <c r="AA30" i="6"/>
  <c r="Z30" i="6"/>
  <c r="Z30" i="7" s="1"/>
  <c r="X30" i="6"/>
  <c r="W30" i="6"/>
  <c r="V30" i="6"/>
  <c r="U30" i="6"/>
  <c r="AD29" i="6"/>
  <c r="AC29" i="6"/>
  <c r="AB29" i="6"/>
  <c r="AA29" i="6"/>
  <c r="Z29" i="6"/>
  <c r="Y29" i="6"/>
  <c r="X29" i="6"/>
  <c r="W29" i="6"/>
  <c r="V29" i="6"/>
  <c r="U29" i="6"/>
  <c r="AD28" i="6"/>
  <c r="AC28" i="6"/>
  <c r="AB28" i="6"/>
  <c r="AA28" i="6"/>
  <c r="Z28" i="6"/>
  <c r="Y28" i="6"/>
  <c r="X28" i="6"/>
  <c r="W28" i="6"/>
  <c r="V28" i="6"/>
  <c r="U28" i="6"/>
  <c r="AD27" i="6"/>
  <c r="AC27" i="6"/>
  <c r="AB27" i="6"/>
  <c r="AA27" i="6"/>
  <c r="Z27" i="6"/>
  <c r="Y27" i="6"/>
  <c r="X27" i="6"/>
  <c r="W27" i="6"/>
  <c r="V27" i="6"/>
  <c r="U27" i="6"/>
  <c r="AD26" i="6"/>
  <c r="AC26" i="6"/>
  <c r="AB26" i="6"/>
  <c r="AA26" i="6"/>
  <c r="Z26" i="6"/>
  <c r="Z26" i="7" s="1"/>
  <c r="Y26" i="6"/>
  <c r="X26" i="6"/>
  <c r="W26" i="6"/>
  <c r="V26" i="6"/>
  <c r="U26" i="6"/>
  <c r="AD25" i="6"/>
  <c r="AC25" i="6"/>
  <c r="AB25" i="6"/>
  <c r="AA25" i="6"/>
  <c r="AA25" i="7" s="1"/>
  <c r="Z25" i="6"/>
  <c r="Z25" i="7" s="1"/>
  <c r="Y25" i="6"/>
  <c r="X25" i="6"/>
  <c r="W25" i="6"/>
  <c r="V25" i="6"/>
  <c r="U25" i="6"/>
  <c r="AD24" i="6"/>
  <c r="AB24" i="6"/>
  <c r="AA24" i="6"/>
  <c r="Z24" i="6"/>
  <c r="X24" i="6"/>
  <c r="W24" i="6"/>
  <c r="V24" i="6"/>
  <c r="U24" i="6"/>
  <c r="AD23" i="6"/>
  <c r="AB23" i="6"/>
  <c r="AA23" i="6"/>
  <c r="Z23" i="6"/>
  <c r="X23" i="6"/>
  <c r="W23" i="6"/>
  <c r="V23" i="6"/>
  <c r="U23" i="6"/>
  <c r="AD22" i="6"/>
  <c r="AB22" i="6"/>
  <c r="AA22" i="6"/>
  <c r="Z22" i="6"/>
  <c r="Z22" i="7" s="1"/>
  <c r="X22" i="6"/>
  <c r="W22" i="6"/>
  <c r="V22" i="6"/>
  <c r="U22" i="6"/>
  <c r="AD21" i="6"/>
  <c r="AB21" i="6"/>
  <c r="AA21" i="6"/>
  <c r="Z21" i="6"/>
  <c r="X21" i="6"/>
  <c r="W21" i="6"/>
  <c r="V21" i="6"/>
  <c r="U21" i="6"/>
  <c r="AD20" i="6"/>
  <c r="AC20" i="6"/>
  <c r="AB20" i="6"/>
  <c r="AA20" i="6"/>
  <c r="Z20" i="6"/>
  <c r="Y20" i="6"/>
  <c r="X20" i="6"/>
  <c r="W20" i="6"/>
  <c r="V20" i="6"/>
  <c r="U20" i="6"/>
  <c r="AD19" i="6"/>
  <c r="AC19" i="6"/>
  <c r="AB19" i="6"/>
  <c r="AA19" i="6"/>
  <c r="Z19" i="6"/>
  <c r="Y19" i="6"/>
  <c r="X19" i="6"/>
  <c r="W19" i="6"/>
  <c r="V19" i="6"/>
  <c r="U19" i="6"/>
  <c r="AD18" i="6"/>
  <c r="AC18" i="6"/>
  <c r="AB18" i="6"/>
  <c r="AA18" i="6"/>
  <c r="Z18" i="6"/>
  <c r="Z18" i="7" s="1"/>
  <c r="Y18" i="6"/>
  <c r="X18" i="6"/>
  <c r="W18" i="6"/>
  <c r="V18" i="6"/>
  <c r="U18" i="6"/>
  <c r="AD17" i="6"/>
  <c r="AC17" i="6"/>
  <c r="AB17" i="6"/>
  <c r="AA17" i="6"/>
  <c r="AA17" i="7" s="1"/>
  <c r="Z17" i="6"/>
  <c r="Y17" i="6"/>
  <c r="X17" i="6"/>
  <c r="W17" i="6"/>
  <c r="V17" i="6"/>
  <c r="U17" i="6"/>
  <c r="AD16" i="6"/>
  <c r="AC16" i="6"/>
  <c r="AB16" i="6"/>
  <c r="AA16" i="6"/>
  <c r="Z16" i="6"/>
  <c r="Y16" i="6"/>
  <c r="X16" i="6"/>
  <c r="W16" i="6"/>
  <c r="V16" i="6"/>
  <c r="U16" i="6"/>
  <c r="AD15" i="6"/>
  <c r="AC15" i="6"/>
  <c r="AB15" i="6"/>
  <c r="AA15" i="6"/>
  <c r="Z15" i="6"/>
  <c r="Y15" i="6"/>
  <c r="X15" i="6"/>
  <c r="W15" i="6"/>
  <c r="V15" i="6"/>
  <c r="U15" i="6"/>
  <c r="AD14" i="6"/>
  <c r="AC14" i="6"/>
  <c r="AB14" i="6"/>
  <c r="AA14" i="6"/>
  <c r="Z14" i="6"/>
  <c r="Z14" i="7" s="1"/>
  <c r="Y14" i="6"/>
  <c r="X14" i="6"/>
  <c r="W14" i="6"/>
  <c r="V14" i="6"/>
  <c r="U14" i="6"/>
  <c r="AD13" i="6"/>
  <c r="AC13" i="6"/>
  <c r="AB13" i="6"/>
  <c r="AA13" i="6"/>
  <c r="Z13" i="6"/>
  <c r="Y13" i="6"/>
  <c r="X13" i="6"/>
  <c r="W13" i="6"/>
  <c r="V13" i="6"/>
  <c r="U13" i="6"/>
  <c r="AD12" i="6"/>
  <c r="AC12" i="6"/>
  <c r="AB12" i="6"/>
  <c r="AA12" i="6"/>
  <c r="Z12" i="6"/>
  <c r="Y12" i="6"/>
  <c r="X12" i="6"/>
  <c r="W12" i="6"/>
  <c r="V12" i="6"/>
  <c r="U12" i="6"/>
  <c r="AD11" i="6"/>
  <c r="AC11" i="6"/>
  <c r="AB11" i="6"/>
  <c r="AA11" i="6"/>
  <c r="Z11" i="6"/>
  <c r="Y11" i="6"/>
  <c r="X11" i="6"/>
  <c r="W11" i="6"/>
  <c r="V11" i="6"/>
  <c r="U11" i="6"/>
  <c r="AD10" i="6"/>
  <c r="AC10" i="6"/>
  <c r="AB10" i="6"/>
  <c r="AA10" i="6"/>
  <c r="Z10" i="6"/>
  <c r="Z10" i="7" s="1"/>
  <c r="Y10" i="6"/>
  <c r="X10" i="6"/>
  <c r="W10" i="6"/>
  <c r="V10" i="6"/>
  <c r="U10" i="6"/>
  <c r="AD9" i="6"/>
  <c r="AC9" i="6"/>
  <c r="AB9" i="6"/>
  <c r="AA9" i="6"/>
  <c r="AA9" i="7" s="1"/>
  <c r="Z9" i="6"/>
  <c r="Y9" i="6"/>
  <c r="X9" i="6"/>
  <c r="W9" i="6"/>
  <c r="V9" i="6"/>
  <c r="U9" i="6"/>
  <c r="AD8" i="6"/>
  <c r="AC8" i="6"/>
  <c r="AB8" i="6"/>
  <c r="AA8" i="6"/>
  <c r="Z8" i="6"/>
  <c r="Y8" i="6"/>
  <c r="X8" i="6"/>
  <c r="W8" i="6"/>
  <c r="V8" i="6"/>
  <c r="U8" i="6"/>
  <c r="AD7" i="6"/>
  <c r="AC7" i="6"/>
  <c r="AB7" i="6"/>
  <c r="AA7" i="6"/>
  <c r="Z7" i="6"/>
  <c r="Y7" i="6"/>
  <c r="X7" i="6"/>
  <c r="W7" i="6"/>
  <c r="V7" i="6"/>
  <c r="U7" i="6"/>
  <c r="AD6" i="6"/>
  <c r="AC6" i="6"/>
  <c r="AB6" i="6"/>
  <c r="AA6" i="6"/>
  <c r="Z6" i="6"/>
  <c r="Z6" i="7" s="1"/>
  <c r="Y6" i="6"/>
  <c r="X6" i="6"/>
  <c r="W6" i="6"/>
  <c r="V6" i="6"/>
  <c r="U6" i="6"/>
  <c r="AD5" i="6"/>
  <c r="AC5" i="6"/>
  <c r="AB5" i="6"/>
  <c r="AA5" i="6"/>
  <c r="Z5" i="6"/>
  <c r="Y5" i="6"/>
  <c r="X5" i="6"/>
  <c r="W5" i="6"/>
  <c r="V5" i="6"/>
  <c r="U5" i="6"/>
  <c r="AP51" i="14"/>
  <c r="AC51" i="14"/>
  <c r="AC51" i="6" s="1"/>
  <c r="Y51" i="14"/>
  <c r="Y51" i="6" s="1"/>
  <c r="AP50" i="14"/>
  <c r="AC50" i="14"/>
  <c r="AC50" i="6" s="1"/>
  <c r="Y50" i="14"/>
  <c r="Y50" i="6" s="1"/>
  <c r="AP49" i="14"/>
  <c r="AC49" i="14"/>
  <c r="AC49" i="6" s="1"/>
  <c r="Y49" i="14"/>
  <c r="Y49" i="6" s="1"/>
  <c r="AP48" i="14"/>
  <c r="AC48" i="14"/>
  <c r="Y48" i="14"/>
  <c r="Y48" i="6" s="1"/>
  <c r="AP47" i="14"/>
  <c r="AC47" i="14"/>
  <c r="AC47" i="6" s="1"/>
  <c r="Y47" i="14"/>
  <c r="Y47" i="6" s="1"/>
  <c r="AP46" i="14"/>
  <c r="AC46" i="14"/>
  <c r="AC46" i="6" s="1"/>
  <c r="Y46" i="14"/>
  <c r="Y46" i="6" s="1"/>
  <c r="AP45" i="14"/>
  <c r="AC45" i="14"/>
  <c r="AC45" i="6" s="1"/>
  <c r="Y45" i="14"/>
  <c r="Y45" i="6" s="1"/>
  <c r="AP44" i="14"/>
  <c r="AC44" i="14"/>
  <c r="AC44" i="6" s="1"/>
  <c r="Y44" i="14"/>
  <c r="Y44" i="6" s="1"/>
  <c r="AP43" i="14"/>
  <c r="AC43" i="14"/>
  <c r="AC43" i="6" s="1"/>
  <c r="Y43" i="14"/>
  <c r="Y43" i="6" s="1"/>
  <c r="AP42" i="14"/>
  <c r="AC42" i="14"/>
  <c r="AC42" i="6" s="1"/>
  <c r="Y42" i="14"/>
  <c r="AP41" i="14"/>
  <c r="AC41" i="14"/>
  <c r="AC41" i="6" s="1"/>
  <c r="Y41" i="14"/>
  <c r="Y41" i="6" s="1"/>
  <c r="AP40" i="14"/>
  <c r="AC40" i="14"/>
  <c r="AC40" i="6" s="1"/>
  <c r="Y40" i="14"/>
  <c r="Y40" i="6" s="1"/>
  <c r="AP39" i="14"/>
  <c r="AC39" i="14"/>
  <c r="AC39" i="6" s="1"/>
  <c r="Y39" i="14"/>
  <c r="Y39" i="6" s="1"/>
  <c r="AP38" i="14"/>
  <c r="AC38" i="14"/>
  <c r="AC38" i="6" s="1"/>
  <c r="Y38" i="14"/>
  <c r="AP37" i="14"/>
  <c r="AC37" i="14"/>
  <c r="AC37" i="6" s="1"/>
  <c r="Y37" i="14"/>
  <c r="Y37" i="6" s="1"/>
  <c r="AP36" i="14"/>
  <c r="AC36" i="14"/>
  <c r="Y36" i="14"/>
  <c r="Y36" i="6" s="1"/>
  <c r="AP35" i="14"/>
  <c r="AC35" i="14"/>
  <c r="AC35" i="6" s="1"/>
  <c r="Y35" i="14"/>
  <c r="Y35" i="6" s="1"/>
  <c r="AP34" i="14"/>
  <c r="AC34" i="14"/>
  <c r="AC34" i="6" s="1"/>
  <c r="Y34" i="14"/>
  <c r="Y34" i="6" s="1"/>
  <c r="AP33" i="14"/>
  <c r="AC33" i="14"/>
  <c r="AC33" i="6" s="1"/>
  <c r="Y33" i="14"/>
  <c r="Y33" i="6" s="1"/>
  <c r="AP32" i="14"/>
  <c r="AC32" i="14"/>
  <c r="Y32" i="14"/>
  <c r="Y32" i="6" s="1"/>
  <c r="AP31" i="14"/>
  <c r="AC31" i="14"/>
  <c r="AC31" i="6" s="1"/>
  <c r="Y31" i="14"/>
  <c r="Y31" i="6" s="1"/>
  <c r="AP30" i="14"/>
  <c r="AC30" i="14"/>
  <c r="AC30" i="6" s="1"/>
  <c r="Y30" i="14"/>
  <c r="Y30" i="6" s="1"/>
  <c r="AP29" i="14"/>
  <c r="AP28" i="14"/>
  <c r="AP27" i="14"/>
  <c r="AP26" i="14"/>
  <c r="AP24" i="14"/>
  <c r="AC24" i="14"/>
  <c r="AC24" i="6" s="1"/>
  <c r="Y24" i="14"/>
  <c r="Y24" i="6" s="1"/>
  <c r="AP23" i="14"/>
  <c r="AC23" i="14"/>
  <c r="AC23" i="6" s="1"/>
  <c r="Y23" i="14"/>
  <c r="Y23" i="6" s="1"/>
  <c r="AP22" i="14"/>
  <c r="AC22" i="14"/>
  <c r="AC22" i="6" s="1"/>
  <c r="Y22" i="14"/>
  <c r="Y22" i="6" s="1"/>
  <c r="AP21" i="14"/>
  <c r="AC21" i="14"/>
  <c r="AC21" i="6" s="1"/>
  <c r="Y21" i="14"/>
  <c r="Y21" i="6" s="1"/>
  <c r="X46" i="13"/>
  <c r="V46" i="13"/>
  <c r="T46" i="13"/>
  <c r="P46" i="13"/>
  <c r="O46" i="13"/>
  <c r="N46" i="13"/>
  <c r="M46" i="13"/>
  <c r="V45" i="13"/>
  <c r="U45" i="13"/>
  <c r="T45" i="13"/>
  <c r="P45" i="13"/>
  <c r="O45" i="13"/>
  <c r="N45" i="13"/>
  <c r="M45" i="13"/>
  <c r="X44" i="13"/>
  <c r="V44" i="13"/>
  <c r="U44" i="13"/>
  <c r="T44" i="13"/>
  <c r="P44" i="13"/>
  <c r="O44" i="13"/>
  <c r="N44" i="13"/>
  <c r="M44" i="13"/>
  <c r="X46" i="12"/>
  <c r="V46" i="12"/>
  <c r="T46" i="12"/>
  <c r="P46" i="12"/>
  <c r="O46" i="12"/>
  <c r="N46" i="12"/>
  <c r="M46" i="12"/>
  <c r="V45" i="12"/>
  <c r="U45" i="12"/>
  <c r="T45" i="12"/>
  <c r="P45" i="12"/>
  <c r="O45" i="12"/>
  <c r="N45" i="12"/>
  <c r="M45" i="12"/>
  <c r="X44" i="12"/>
  <c r="V44" i="12"/>
  <c r="V48" i="12" s="1"/>
  <c r="U44" i="12"/>
  <c r="U48" i="12" s="1"/>
  <c r="T44" i="12"/>
  <c r="T48" i="12" s="1"/>
  <c r="P44" i="12"/>
  <c r="P48" i="12" s="1"/>
  <c r="O44" i="12"/>
  <c r="O48" i="12" s="1"/>
  <c r="N44" i="12"/>
  <c r="N48" i="12" s="1"/>
  <c r="M44" i="12"/>
  <c r="M48" i="12" s="1"/>
  <c r="I35" i="12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X46" i="11"/>
  <c r="V46" i="11"/>
  <c r="T46" i="11"/>
  <c r="P46" i="11"/>
  <c r="O46" i="11"/>
  <c r="N46" i="11"/>
  <c r="M46" i="11"/>
  <c r="V45" i="11"/>
  <c r="U45" i="11"/>
  <c r="T45" i="11"/>
  <c r="P45" i="11"/>
  <c r="O45" i="11"/>
  <c r="N45" i="11"/>
  <c r="M45" i="11"/>
  <c r="X44" i="11"/>
  <c r="V44" i="11"/>
  <c r="V48" i="11" s="1"/>
  <c r="U44" i="11"/>
  <c r="U48" i="11" s="1"/>
  <c r="T44" i="11"/>
  <c r="T48" i="11" s="1"/>
  <c r="P44" i="11"/>
  <c r="P48" i="11" s="1"/>
  <c r="O44" i="11"/>
  <c r="O48" i="11" s="1"/>
  <c r="N44" i="11"/>
  <c r="N48" i="11" s="1"/>
  <c r="M44" i="11"/>
  <c r="M48" i="11" s="1"/>
  <c r="I35" i="11"/>
  <c r="I27" i="11"/>
  <c r="X46" i="10"/>
  <c r="X44" i="10"/>
  <c r="V46" i="10"/>
  <c r="V45" i="10"/>
  <c r="V44" i="10"/>
  <c r="U45" i="10"/>
  <c r="U44" i="10"/>
  <c r="T46" i="10"/>
  <c r="T45" i="10"/>
  <c r="T44" i="10"/>
  <c r="R47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4" i="10"/>
  <c r="Z13" i="10"/>
  <c r="Z12" i="10"/>
  <c r="Z11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4" i="10"/>
  <c r="V13" i="10"/>
  <c r="V12" i="10"/>
  <c r="V11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4" i="10"/>
  <c r="U13" i="10"/>
  <c r="U12" i="10"/>
  <c r="U11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4" i="10"/>
  <c r="T13" i="10"/>
  <c r="T12" i="10"/>
  <c r="T11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4" i="10"/>
  <c r="R13" i="10"/>
  <c r="R12" i="10"/>
  <c r="R11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4" i="10"/>
  <c r="P13" i="10"/>
  <c r="P12" i="10"/>
  <c r="P11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4" i="10"/>
  <c r="O13" i="10"/>
  <c r="O12" i="10"/>
  <c r="O11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4" i="10"/>
  <c r="N13" i="10"/>
  <c r="N12" i="10"/>
  <c r="N11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4" i="10"/>
  <c r="M13" i="10"/>
  <c r="M12" i="10"/>
  <c r="M11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I27" i="10"/>
  <c r="I19" i="10"/>
  <c r="AK56" i="9"/>
  <c r="AF56" i="9"/>
  <c r="AP54" i="9" s="1"/>
  <c r="AE56" i="9"/>
  <c r="AO54" i="9" s="1"/>
  <c r="AC56" i="9"/>
  <c r="Y56" i="9"/>
  <c r="X56" i="9"/>
  <c r="W56" i="9"/>
  <c r="S56" i="9"/>
  <c r="R56" i="9"/>
  <c r="Q56" i="9"/>
  <c r="P56" i="9"/>
  <c r="O56" i="9"/>
  <c r="M56" i="9"/>
  <c r="L56" i="9"/>
  <c r="AK55" i="9"/>
  <c r="AF55" i="9"/>
  <c r="AC55" i="9"/>
  <c r="AA55" i="9"/>
  <c r="Z55" i="9"/>
  <c r="Y55" i="9"/>
  <c r="X55" i="9"/>
  <c r="W55" i="9"/>
  <c r="V55" i="9"/>
  <c r="U55" i="9"/>
  <c r="S55" i="9"/>
  <c r="R55" i="9"/>
  <c r="Q55" i="9"/>
  <c r="P55" i="9"/>
  <c r="O55" i="9"/>
  <c r="M55" i="9"/>
  <c r="L55" i="9"/>
  <c r="AL57" i="8"/>
  <c r="AG57" i="8"/>
  <c r="AD57" i="8"/>
  <c r="AB57" i="8"/>
  <c r="T57" i="8"/>
  <c r="AK56" i="8"/>
  <c r="AF56" i="8"/>
  <c r="AE56" i="8"/>
  <c r="AC56" i="8"/>
  <c r="Y56" i="8"/>
  <c r="X56" i="8"/>
  <c r="W56" i="8"/>
  <c r="S56" i="8"/>
  <c r="R56" i="8"/>
  <c r="Q56" i="8"/>
  <c r="P56" i="8"/>
  <c r="O56" i="8"/>
  <c r="M56" i="8"/>
  <c r="L56" i="8"/>
  <c r="AK55" i="8"/>
  <c r="AF55" i="8"/>
  <c r="AP54" i="8" s="1"/>
  <c r="AC55" i="8"/>
  <c r="AA55" i="8"/>
  <c r="Z55" i="8"/>
  <c r="Y55" i="8"/>
  <c r="X55" i="8"/>
  <c r="W55" i="8"/>
  <c r="V55" i="8"/>
  <c r="U55" i="8"/>
  <c r="S55" i="8"/>
  <c r="R55" i="8"/>
  <c r="Q55" i="8"/>
  <c r="P55" i="8"/>
  <c r="O55" i="8"/>
  <c r="M55" i="8"/>
  <c r="L55" i="8"/>
  <c r="AL57" i="7"/>
  <c r="AG57" i="7"/>
  <c r="AD57" i="7"/>
  <c r="AB57" i="7"/>
  <c r="T57" i="7"/>
  <c r="AG51" i="7"/>
  <c r="AA51" i="7"/>
  <c r="Z51" i="7"/>
  <c r="AG50" i="7"/>
  <c r="AA50" i="7"/>
  <c r="AG49" i="7"/>
  <c r="Z49" i="7"/>
  <c r="AG48" i="7"/>
  <c r="AA48" i="7"/>
  <c r="Z48" i="7"/>
  <c r="AG47" i="7"/>
  <c r="AA47" i="7"/>
  <c r="Z47" i="7"/>
  <c r="AG46" i="7"/>
  <c r="AA46" i="7"/>
  <c r="AG45" i="7"/>
  <c r="AA45" i="7"/>
  <c r="Z45" i="7"/>
  <c r="AG44" i="7"/>
  <c r="AA44" i="7"/>
  <c r="AG43" i="7"/>
  <c r="AA43" i="7"/>
  <c r="AG42" i="7"/>
  <c r="AA42" i="7"/>
  <c r="AG41" i="7"/>
  <c r="Z41" i="7"/>
  <c r="AG40" i="7"/>
  <c r="AA40" i="7"/>
  <c r="Z40" i="7"/>
  <c r="AG39" i="7"/>
  <c r="AA39" i="7"/>
  <c r="Z39" i="7"/>
  <c r="AG38" i="7"/>
  <c r="AA38" i="7"/>
  <c r="AG37" i="7"/>
  <c r="AA37" i="7"/>
  <c r="Z37" i="7"/>
  <c r="AG36" i="7"/>
  <c r="AA36" i="7"/>
  <c r="Z36" i="7"/>
  <c r="AG35" i="7"/>
  <c r="AA35" i="7"/>
  <c r="Z35" i="7"/>
  <c r="AG34" i="7"/>
  <c r="AA34" i="7"/>
  <c r="AG33" i="7"/>
  <c r="Z33" i="7"/>
  <c r="AG32" i="7"/>
  <c r="AA32" i="7"/>
  <c r="Z32" i="7"/>
  <c r="AG31" i="7"/>
  <c r="AA31" i="7"/>
  <c r="Z31" i="7"/>
  <c r="AG30" i="7"/>
  <c r="AA30" i="7"/>
  <c r="AG29" i="7"/>
  <c r="AA29" i="7"/>
  <c r="Z29" i="7"/>
  <c r="AG28" i="7"/>
  <c r="AA28" i="7"/>
  <c r="Z28" i="7"/>
  <c r="AG27" i="7"/>
  <c r="AA27" i="7"/>
  <c r="Z27" i="7"/>
  <c r="AG26" i="7"/>
  <c r="AA26" i="7"/>
  <c r="AG25" i="7"/>
  <c r="AG24" i="7"/>
  <c r="AA24" i="7"/>
  <c r="Z24" i="7"/>
  <c r="AG23" i="7"/>
  <c r="AA23" i="7"/>
  <c r="Z23" i="7"/>
  <c r="AG22" i="7"/>
  <c r="AA22" i="7"/>
  <c r="AG21" i="7"/>
  <c r="AA21" i="7"/>
  <c r="Z21" i="7"/>
  <c r="AG20" i="7"/>
  <c r="AA20" i="7"/>
  <c r="Z20" i="7"/>
  <c r="AG19" i="7"/>
  <c r="AA19" i="7"/>
  <c r="Z19" i="7"/>
  <c r="AG18" i="7"/>
  <c r="AA18" i="7"/>
  <c r="AG17" i="7"/>
  <c r="Z17" i="7"/>
  <c r="AG16" i="7"/>
  <c r="AA16" i="7"/>
  <c r="Z16" i="7"/>
  <c r="AG15" i="7"/>
  <c r="AA15" i="7"/>
  <c r="Z15" i="7"/>
  <c r="AG14" i="7"/>
  <c r="AA14" i="7"/>
  <c r="AG13" i="7"/>
  <c r="AA13" i="7"/>
  <c r="Z13" i="7"/>
  <c r="AG12" i="7"/>
  <c r="AA12" i="7"/>
  <c r="Z12" i="7"/>
  <c r="AG11" i="7"/>
  <c r="AA11" i="7"/>
  <c r="Z11" i="7"/>
  <c r="AG10" i="7"/>
  <c r="AA10" i="7"/>
  <c r="AG9" i="7"/>
  <c r="Z9" i="7"/>
  <c r="AG8" i="7"/>
  <c r="AA8" i="7"/>
  <c r="Z8" i="7"/>
  <c r="AG7" i="7"/>
  <c r="AA7" i="7"/>
  <c r="Z7" i="7"/>
  <c r="AG6" i="7"/>
  <c r="AA6" i="7"/>
  <c r="AG5" i="7"/>
  <c r="AA5" i="7"/>
  <c r="Z5" i="7"/>
  <c r="AK56" i="7"/>
  <c r="AF56" i="7"/>
  <c r="AE56" i="7"/>
  <c r="AC56" i="7"/>
  <c r="Y56" i="7"/>
  <c r="X56" i="7"/>
  <c r="W56" i="7"/>
  <c r="S56" i="7"/>
  <c r="R56" i="7"/>
  <c r="Q56" i="7"/>
  <c r="P56" i="7"/>
  <c r="O56" i="7"/>
  <c r="M56" i="7"/>
  <c r="L56" i="7"/>
  <c r="AK55" i="7"/>
  <c r="AJ55" i="7"/>
  <c r="AF55" i="7"/>
  <c r="AC55" i="7"/>
  <c r="AA55" i="7"/>
  <c r="Z55" i="7"/>
  <c r="Y55" i="7"/>
  <c r="X55" i="7"/>
  <c r="W55" i="7"/>
  <c r="V55" i="7"/>
  <c r="U55" i="7"/>
  <c r="S55" i="7"/>
  <c r="R55" i="7"/>
  <c r="Q55" i="7"/>
  <c r="P55" i="7"/>
  <c r="O55" i="7"/>
  <c r="M55" i="7"/>
  <c r="L55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4" i="7"/>
  <c r="AP23" i="7"/>
  <c r="AP22" i="7"/>
  <c r="AP21" i="7"/>
  <c r="AA56" i="6"/>
  <c r="Z56" i="6"/>
  <c r="AK58" i="6"/>
  <c r="AK57" i="6"/>
  <c r="AK56" i="6"/>
  <c r="AJ58" i="6"/>
  <c r="AJ57" i="6"/>
  <c r="AH56" i="6"/>
  <c r="AF58" i="6"/>
  <c r="AF57" i="6"/>
  <c r="AF56" i="6"/>
  <c r="AE58" i="6"/>
  <c r="AE56" i="6"/>
  <c r="AC58" i="6"/>
  <c r="AC57" i="6"/>
  <c r="AC56" i="6"/>
  <c r="AA58" i="6"/>
  <c r="AA57" i="6"/>
  <c r="Z57" i="6"/>
  <c r="Y58" i="6"/>
  <c r="Y57" i="6"/>
  <c r="X58" i="6"/>
  <c r="X57" i="6"/>
  <c r="X56" i="6"/>
  <c r="W58" i="6"/>
  <c r="W57" i="6"/>
  <c r="V57" i="6"/>
  <c r="U57" i="6"/>
  <c r="U56" i="6"/>
  <c r="S58" i="6"/>
  <c r="S57" i="6"/>
  <c r="S56" i="6"/>
  <c r="R58" i="6"/>
  <c r="R57" i="6"/>
  <c r="R56" i="6"/>
  <c r="Q58" i="6"/>
  <c r="Q57" i="6"/>
  <c r="Q56" i="6"/>
  <c r="P58" i="6"/>
  <c r="P57" i="6"/>
  <c r="P56" i="6"/>
  <c r="O58" i="6"/>
  <c r="O57" i="6"/>
  <c r="O56" i="6"/>
  <c r="M58" i="6"/>
  <c r="M57" i="6"/>
  <c r="M56" i="6"/>
  <c r="L58" i="6"/>
  <c r="L57" i="6"/>
  <c r="L56" i="6"/>
  <c r="L54" i="7" s="1"/>
  <c r="AK16" i="6"/>
  <c r="AK15" i="6"/>
  <c r="AK10" i="6"/>
  <c r="AK9" i="6"/>
  <c r="AK6" i="6"/>
  <c r="AK5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4" i="6"/>
  <c r="AI23" i="6"/>
  <c r="AI22" i="6"/>
  <c r="AI21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4" i="6"/>
  <c r="AH23" i="6"/>
  <c r="AH22" i="6"/>
  <c r="AH21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4" i="6"/>
  <c r="S23" i="6"/>
  <c r="S22" i="6"/>
  <c r="S21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5" i="6"/>
  <c r="Q20" i="6"/>
  <c r="Q19" i="6"/>
  <c r="Q18" i="6"/>
  <c r="Q17" i="6"/>
  <c r="Q12" i="6"/>
  <c r="Q11" i="6"/>
  <c r="Q7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4" i="6"/>
  <c r="O23" i="6"/>
  <c r="O22" i="6"/>
  <c r="O21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5" i="6"/>
  <c r="L20" i="6"/>
  <c r="L19" i="6"/>
  <c r="L18" i="6"/>
  <c r="L17" i="6"/>
  <c r="L12" i="6"/>
  <c r="L11" i="6"/>
  <c r="L7" i="6"/>
  <c r="AJ56" i="6"/>
  <c r="AI56" i="7"/>
  <c r="AI55" i="9"/>
  <c r="F28" i="5"/>
  <c r="AH57" i="6"/>
  <c r="W56" i="6"/>
  <c r="F41" i="5"/>
  <c r="AA56" i="7"/>
  <c r="Z56" i="7"/>
  <c r="U58" i="6"/>
  <c r="F43" i="5"/>
  <c r="D43" i="5"/>
  <c r="E41" i="5"/>
  <c r="D41" i="5"/>
  <c r="F23" i="5"/>
  <c r="AG58" i="6" s="1"/>
  <c r="D23" i="5"/>
  <c r="AG56" i="6" s="1"/>
  <c r="F20" i="5"/>
  <c r="AD58" i="6" s="1"/>
  <c r="E20" i="5"/>
  <c r="AD57" i="6" s="1"/>
  <c r="D20" i="5"/>
  <c r="AD56" i="6" s="1"/>
  <c r="E18" i="5"/>
  <c r="AB57" i="6" s="1"/>
  <c r="T38" i="4"/>
  <c r="S38" i="4"/>
  <c r="R38" i="4"/>
  <c r="Q38" i="4"/>
  <c r="P38" i="4"/>
  <c r="O38" i="4"/>
  <c r="N38" i="4"/>
  <c r="M38" i="4"/>
  <c r="L38" i="4"/>
  <c r="K38" i="4"/>
  <c r="J38" i="4"/>
  <c r="I38" i="4"/>
  <c r="T37" i="4"/>
  <c r="S37" i="4"/>
  <c r="R37" i="4"/>
  <c r="Q37" i="4"/>
  <c r="P37" i="4"/>
  <c r="O37" i="4"/>
  <c r="N37" i="4"/>
  <c r="M37" i="4"/>
  <c r="L37" i="4"/>
  <c r="K37" i="4"/>
  <c r="J37" i="4"/>
  <c r="I37" i="4"/>
  <c r="T36" i="4"/>
  <c r="S36" i="4"/>
  <c r="R36" i="4"/>
  <c r="Q36" i="4"/>
  <c r="P36" i="4"/>
  <c r="O36" i="4"/>
  <c r="N36" i="4"/>
  <c r="M36" i="4"/>
  <c r="U36" i="4" s="1"/>
  <c r="L36" i="4"/>
  <c r="K36" i="4"/>
  <c r="J36" i="4"/>
  <c r="I36" i="4"/>
  <c r="T35" i="4"/>
  <c r="S35" i="4"/>
  <c r="R35" i="4"/>
  <c r="Q35" i="4"/>
  <c r="P35" i="4"/>
  <c r="O35" i="4"/>
  <c r="N35" i="4"/>
  <c r="M35" i="4"/>
  <c r="L35" i="4"/>
  <c r="K35" i="4"/>
  <c r="J35" i="4"/>
  <c r="I35" i="4"/>
  <c r="U35" i="4" s="1"/>
  <c r="T34" i="4"/>
  <c r="S34" i="4"/>
  <c r="R34" i="4"/>
  <c r="Q34" i="4"/>
  <c r="P34" i="4"/>
  <c r="O34" i="4"/>
  <c r="N34" i="4"/>
  <c r="M34" i="4"/>
  <c r="L34" i="4"/>
  <c r="K34" i="4"/>
  <c r="J34" i="4"/>
  <c r="I34" i="4"/>
  <c r="T33" i="4"/>
  <c r="S33" i="4"/>
  <c r="R33" i="4"/>
  <c r="Q33" i="4"/>
  <c r="P33" i="4"/>
  <c r="O33" i="4"/>
  <c r="N33" i="4"/>
  <c r="M33" i="4"/>
  <c r="L33" i="4"/>
  <c r="K33" i="4"/>
  <c r="J33" i="4"/>
  <c r="I33" i="4"/>
  <c r="U33" i="4" s="1"/>
  <c r="T32" i="4"/>
  <c r="S32" i="4"/>
  <c r="R32" i="4"/>
  <c r="Q32" i="4"/>
  <c r="P32" i="4"/>
  <c r="O32" i="4"/>
  <c r="N32" i="4"/>
  <c r="M32" i="4"/>
  <c r="L32" i="4"/>
  <c r="K32" i="4"/>
  <c r="J32" i="4"/>
  <c r="I32" i="4"/>
  <c r="U32" i="4" s="1"/>
  <c r="I35" i="10" s="1"/>
  <c r="T31" i="4"/>
  <c r="S31" i="4"/>
  <c r="R31" i="4"/>
  <c r="Q31" i="4"/>
  <c r="P31" i="4"/>
  <c r="O31" i="4"/>
  <c r="N31" i="4"/>
  <c r="M31" i="4"/>
  <c r="L31" i="4"/>
  <c r="K31" i="4"/>
  <c r="J31" i="4"/>
  <c r="I31" i="4"/>
  <c r="U31" i="4" s="1"/>
  <c r="T30" i="4"/>
  <c r="S30" i="4"/>
  <c r="R30" i="4"/>
  <c r="Q30" i="4"/>
  <c r="P30" i="4"/>
  <c r="O30" i="4"/>
  <c r="N30" i="4"/>
  <c r="M30" i="4"/>
  <c r="L30" i="4"/>
  <c r="K30" i="4"/>
  <c r="J30" i="4"/>
  <c r="I30" i="4"/>
  <c r="T29" i="4"/>
  <c r="S29" i="4"/>
  <c r="R29" i="4"/>
  <c r="Q29" i="4"/>
  <c r="P29" i="4"/>
  <c r="O29" i="4"/>
  <c r="N29" i="4"/>
  <c r="M29" i="4"/>
  <c r="L29" i="4"/>
  <c r="K29" i="4"/>
  <c r="J29" i="4"/>
  <c r="I29" i="4"/>
  <c r="T28" i="4"/>
  <c r="S28" i="4"/>
  <c r="R28" i="4"/>
  <c r="Q28" i="4"/>
  <c r="P28" i="4"/>
  <c r="O28" i="4"/>
  <c r="N28" i="4"/>
  <c r="M28" i="4"/>
  <c r="U28" i="4" s="1"/>
  <c r="L28" i="4"/>
  <c r="K28" i="4"/>
  <c r="J28" i="4"/>
  <c r="I28" i="4"/>
  <c r="T27" i="4"/>
  <c r="S27" i="4"/>
  <c r="R27" i="4"/>
  <c r="Q27" i="4"/>
  <c r="P27" i="4"/>
  <c r="O27" i="4"/>
  <c r="N27" i="4"/>
  <c r="M27" i="4"/>
  <c r="L27" i="4"/>
  <c r="K27" i="4"/>
  <c r="J27" i="4"/>
  <c r="I27" i="4"/>
  <c r="U27" i="4" s="1"/>
  <c r="T26" i="4"/>
  <c r="S26" i="4"/>
  <c r="R26" i="4"/>
  <c r="Q26" i="4"/>
  <c r="P26" i="4"/>
  <c r="O26" i="4"/>
  <c r="N26" i="4"/>
  <c r="M26" i="4"/>
  <c r="L26" i="4"/>
  <c r="K26" i="4"/>
  <c r="J26" i="4"/>
  <c r="I26" i="4"/>
  <c r="T25" i="4"/>
  <c r="S25" i="4"/>
  <c r="R25" i="4"/>
  <c r="Q25" i="4"/>
  <c r="P25" i="4"/>
  <c r="O25" i="4"/>
  <c r="N25" i="4"/>
  <c r="M25" i="4"/>
  <c r="L25" i="4"/>
  <c r="K25" i="4"/>
  <c r="J25" i="4"/>
  <c r="I25" i="4"/>
  <c r="U25" i="4" s="1"/>
  <c r="T24" i="4"/>
  <c r="S24" i="4"/>
  <c r="R24" i="4"/>
  <c r="Q24" i="4"/>
  <c r="P24" i="4"/>
  <c r="O24" i="4"/>
  <c r="N24" i="4"/>
  <c r="M24" i="4"/>
  <c r="L24" i="4"/>
  <c r="K24" i="4"/>
  <c r="J24" i="4"/>
  <c r="I24" i="4"/>
  <c r="U24" i="4" s="1"/>
  <c r="I27" i="12" s="1"/>
  <c r="T23" i="4"/>
  <c r="S23" i="4"/>
  <c r="R23" i="4"/>
  <c r="Q23" i="4"/>
  <c r="P23" i="4"/>
  <c r="O23" i="4"/>
  <c r="N23" i="4"/>
  <c r="M23" i="4"/>
  <c r="L23" i="4"/>
  <c r="K23" i="4"/>
  <c r="J23" i="4"/>
  <c r="I23" i="4"/>
  <c r="U23" i="4" s="1"/>
  <c r="T22" i="4"/>
  <c r="S22" i="4"/>
  <c r="R22" i="4"/>
  <c r="Q22" i="4"/>
  <c r="P22" i="4"/>
  <c r="O22" i="4"/>
  <c r="N22" i="4"/>
  <c r="M22" i="4"/>
  <c r="L22" i="4"/>
  <c r="K22" i="4"/>
  <c r="J22" i="4"/>
  <c r="I22" i="4"/>
  <c r="T21" i="4"/>
  <c r="S21" i="4"/>
  <c r="R21" i="4"/>
  <c r="Q21" i="4"/>
  <c r="P21" i="4"/>
  <c r="O21" i="4"/>
  <c r="N21" i="4"/>
  <c r="M21" i="4"/>
  <c r="L21" i="4"/>
  <c r="K21" i="4"/>
  <c r="J21" i="4"/>
  <c r="I21" i="4"/>
  <c r="T20" i="4"/>
  <c r="S20" i="4"/>
  <c r="R20" i="4"/>
  <c r="Q20" i="4"/>
  <c r="P20" i="4"/>
  <c r="O20" i="4"/>
  <c r="N20" i="4"/>
  <c r="M20" i="4"/>
  <c r="U20" i="4" s="1"/>
  <c r="L20" i="4"/>
  <c r="K20" i="4"/>
  <c r="J20" i="4"/>
  <c r="I20" i="4"/>
  <c r="T19" i="4"/>
  <c r="S19" i="4"/>
  <c r="R19" i="4"/>
  <c r="Q19" i="4"/>
  <c r="P19" i="4"/>
  <c r="O19" i="4"/>
  <c r="N19" i="4"/>
  <c r="M19" i="4"/>
  <c r="L19" i="4"/>
  <c r="K19" i="4"/>
  <c r="J19" i="4"/>
  <c r="I19" i="4"/>
  <c r="U19" i="4" s="1"/>
  <c r="T18" i="4"/>
  <c r="S18" i="4"/>
  <c r="R18" i="4"/>
  <c r="Q18" i="4"/>
  <c r="P18" i="4"/>
  <c r="O18" i="4"/>
  <c r="N18" i="4"/>
  <c r="M18" i="4"/>
  <c r="L18" i="4"/>
  <c r="K18" i="4"/>
  <c r="J18" i="4"/>
  <c r="I18" i="4"/>
  <c r="T17" i="4"/>
  <c r="S17" i="4"/>
  <c r="R17" i="4"/>
  <c r="Q17" i="4"/>
  <c r="P17" i="4"/>
  <c r="O17" i="4"/>
  <c r="N17" i="4"/>
  <c r="M17" i="4"/>
  <c r="L17" i="4"/>
  <c r="K17" i="4"/>
  <c r="J17" i="4"/>
  <c r="I17" i="4"/>
  <c r="U17" i="4" s="1"/>
  <c r="T16" i="4"/>
  <c r="S16" i="4"/>
  <c r="R16" i="4"/>
  <c r="Q16" i="4"/>
  <c r="P16" i="4"/>
  <c r="O16" i="4"/>
  <c r="N16" i="4"/>
  <c r="M16" i="4"/>
  <c r="L16" i="4"/>
  <c r="K16" i="4"/>
  <c r="J16" i="4"/>
  <c r="I16" i="4"/>
  <c r="U16" i="4" s="1"/>
  <c r="I19" i="11" s="1"/>
  <c r="T15" i="4"/>
  <c r="S15" i="4"/>
  <c r="R15" i="4"/>
  <c r="Q15" i="4"/>
  <c r="P15" i="4"/>
  <c r="O15" i="4"/>
  <c r="N15" i="4"/>
  <c r="M15" i="4"/>
  <c r="L15" i="4"/>
  <c r="K15" i="4"/>
  <c r="J15" i="4"/>
  <c r="I15" i="4"/>
  <c r="U15" i="4" s="1"/>
  <c r="T14" i="4"/>
  <c r="S14" i="4"/>
  <c r="R14" i="4"/>
  <c r="Q14" i="4"/>
  <c r="P14" i="4"/>
  <c r="O14" i="4"/>
  <c r="N14" i="4"/>
  <c r="M14" i="4"/>
  <c r="L14" i="4"/>
  <c r="K14" i="4"/>
  <c r="J14" i="4"/>
  <c r="I14" i="4"/>
  <c r="T13" i="4"/>
  <c r="S13" i="4"/>
  <c r="R13" i="4"/>
  <c r="Q13" i="4"/>
  <c r="P13" i="4"/>
  <c r="O13" i="4"/>
  <c r="N13" i="4"/>
  <c r="M13" i="4"/>
  <c r="L13" i="4"/>
  <c r="K13" i="4"/>
  <c r="J13" i="4"/>
  <c r="I13" i="4"/>
  <c r="U13" i="4" s="1"/>
  <c r="T12" i="4"/>
  <c r="S12" i="4"/>
  <c r="R12" i="4"/>
  <c r="Q12" i="4"/>
  <c r="P12" i="4"/>
  <c r="O12" i="4"/>
  <c r="N12" i="4"/>
  <c r="M12" i="4"/>
  <c r="U12" i="4" s="1"/>
  <c r="L12" i="4"/>
  <c r="K12" i="4"/>
  <c r="J12" i="4"/>
  <c r="I12" i="4"/>
  <c r="T11" i="4"/>
  <c r="S11" i="4"/>
  <c r="R11" i="4"/>
  <c r="Q11" i="4"/>
  <c r="P11" i="4"/>
  <c r="O11" i="4"/>
  <c r="N11" i="4"/>
  <c r="M11" i="4"/>
  <c r="L11" i="4"/>
  <c r="K11" i="4"/>
  <c r="J11" i="4"/>
  <c r="I11" i="4"/>
  <c r="T10" i="4"/>
  <c r="S10" i="4"/>
  <c r="R10" i="4"/>
  <c r="Q10" i="4"/>
  <c r="P10" i="4"/>
  <c r="O10" i="4"/>
  <c r="N10" i="4"/>
  <c r="M10" i="4"/>
  <c r="L10" i="4"/>
  <c r="K10" i="4"/>
  <c r="J10" i="4"/>
  <c r="I10" i="4"/>
  <c r="T9" i="4"/>
  <c r="S9" i="4"/>
  <c r="R9" i="4"/>
  <c r="Q9" i="4"/>
  <c r="P9" i="4"/>
  <c r="O9" i="4"/>
  <c r="N9" i="4"/>
  <c r="M9" i="4"/>
  <c r="L9" i="4"/>
  <c r="K9" i="4"/>
  <c r="J9" i="4"/>
  <c r="I9" i="4"/>
  <c r="T8" i="4"/>
  <c r="S8" i="4"/>
  <c r="R8" i="4"/>
  <c r="Q8" i="4"/>
  <c r="P8" i="4"/>
  <c r="O8" i="4"/>
  <c r="N8" i="4"/>
  <c r="M8" i="4"/>
  <c r="L8" i="4"/>
  <c r="K8" i="4"/>
  <c r="J8" i="4"/>
  <c r="I8" i="4"/>
  <c r="U8" i="4" s="1"/>
  <c r="I11" i="10" s="1"/>
  <c r="T7" i="4"/>
  <c r="S7" i="4"/>
  <c r="R7" i="4"/>
  <c r="Q7" i="4"/>
  <c r="P7" i="4"/>
  <c r="O7" i="4"/>
  <c r="N7" i="4"/>
  <c r="M7" i="4"/>
  <c r="L7" i="4"/>
  <c r="K7" i="4"/>
  <c r="J7" i="4"/>
  <c r="I7" i="4"/>
  <c r="U7" i="4" s="1"/>
  <c r="T6" i="4"/>
  <c r="S6" i="4"/>
  <c r="R6" i="4"/>
  <c r="Q6" i="4"/>
  <c r="P6" i="4"/>
  <c r="O6" i="4"/>
  <c r="N6" i="4"/>
  <c r="M6" i="4"/>
  <c r="L6" i="4"/>
  <c r="K6" i="4"/>
  <c r="J6" i="4"/>
  <c r="I6" i="4"/>
  <c r="T5" i="4"/>
  <c r="S5" i="4"/>
  <c r="R5" i="4"/>
  <c r="Q5" i="4"/>
  <c r="P5" i="4"/>
  <c r="O5" i="4"/>
  <c r="N5" i="4"/>
  <c r="M5" i="4"/>
  <c r="L5" i="4"/>
  <c r="K5" i="4"/>
  <c r="J5" i="4"/>
  <c r="I5" i="4"/>
  <c r="T4" i="4"/>
  <c r="S4" i="4"/>
  <c r="R4" i="4"/>
  <c r="Q4" i="4"/>
  <c r="P4" i="4"/>
  <c r="O4" i="4"/>
  <c r="N4" i="4"/>
  <c r="M4" i="4"/>
  <c r="U4" i="4" s="1"/>
  <c r="L4" i="4"/>
  <c r="K4" i="4"/>
  <c r="J4" i="4"/>
  <c r="I4" i="4"/>
  <c r="T3" i="4"/>
  <c r="S3" i="4"/>
  <c r="R3" i="4"/>
  <c r="Q3" i="4"/>
  <c r="P3" i="4"/>
  <c r="O3" i="4"/>
  <c r="N3" i="4"/>
  <c r="M3" i="4"/>
  <c r="L3" i="4"/>
  <c r="K3" i="4"/>
  <c r="J3" i="4"/>
  <c r="I3" i="4"/>
  <c r="T2" i="4"/>
  <c r="S2" i="4"/>
  <c r="R2" i="4"/>
  <c r="Q2" i="4"/>
  <c r="P2" i="4"/>
  <c r="O2" i="4"/>
  <c r="N2" i="4"/>
  <c r="M2" i="4"/>
  <c r="L2" i="4"/>
  <c r="K2" i="4"/>
  <c r="J2" i="4"/>
  <c r="I2" i="4"/>
  <c r="T48" i="3"/>
  <c r="S48" i="3"/>
  <c r="R48" i="3"/>
  <c r="Q48" i="3"/>
  <c r="P48" i="3"/>
  <c r="O48" i="3"/>
  <c r="N48" i="3"/>
  <c r="M48" i="3"/>
  <c r="L48" i="3"/>
  <c r="K48" i="3"/>
  <c r="J48" i="3"/>
  <c r="I48" i="3"/>
  <c r="T47" i="3"/>
  <c r="S47" i="3"/>
  <c r="R47" i="3"/>
  <c r="Q47" i="3"/>
  <c r="P47" i="3"/>
  <c r="O47" i="3"/>
  <c r="N47" i="3"/>
  <c r="M47" i="3"/>
  <c r="L47" i="3"/>
  <c r="K47" i="3"/>
  <c r="J47" i="3"/>
  <c r="I47" i="3"/>
  <c r="U47" i="3" s="1"/>
  <c r="T46" i="3"/>
  <c r="S46" i="3"/>
  <c r="R46" i="3"/>
  <c r="Q46" i="3"/>
  <c r="P46" i="3"/>
  <c r="O46" i="3"/>
  <c r="N46" i="3"/>
  <c r="M46" i="3"/>
  <c r="L46" i="3"/>
  <c r="K46" i="3"/>
  <c r="J46" i="3"/>
  <c r="I46" i="3"/>
  <c r="U46" i="3" s="1"/>
  <c r="I49" i="9" s="1"/>
  <c r="T45" i="3"/>
  <c r="S45" i="3"/>
  <c r="R45" i="3"/>
  <c r="Q45" i="3"/>
  <c r="P45" i="3"/>
  <c r="O45" i="3"/>
  <c r="N45" i="3"/>
  <c r="M45" i="3"/>
  <c r="L45" i="3"/>
  <c r="K45" i="3"/>
  <c r="J45" i="3"/>
  <c r="I45" i="3"/>
  <c r="U45" i="3" s="1"/>
  <c r="T44" i="3"/>
  <c r="S44" i="3"/>
  <c r="R44" i="3"/>
  <c r="Q44" i="3"/>
  <c r="P44" i="3"/>
  <c r="O44" i="3"/>
  <c r="N44" i="3"/>
  <c r="M44" i="3"/>
  <c r="L44" i="3"/>
  <c r="K44" i="3"/>
  <c r="J44" i="3"/>
  <c r="I44" i="3"/>
  <c r="U44" i="3" s="1"/>
  <c r="T43" i="3"/>
  <c r="S43" i="3"/>
  <c r="R43" i="3"/>
  <c r="Q43" i="3"/>
  <c r="P43" i="3"/>
  <c r="O43" i="3"/>
  <c r="N43" i="3"/>
  <c r="M43" i="3"/>
  <c r="U43" i="3" s="1"/>
  <c r="L43" i="3"/>
  <c r="K43" i="3"/>
  <c r="J43" i="3"/>
  <c r="I43" i="3"/>
  <c r="T42" i="3"/>
  <c r="S42" i="3"/>
  <c r="R42" i="3"/>
  <c r="Q42" i="3"/>
  <c r="P42" i="3"/>
  <c r="O42" i="3"/>
  <c r="N42" i="3"/>
  <c r="M42" i="3"/>
  <c r="L42" i="3"/>
  <c r="K42" i="3"/>
  <c r="J42" i="3"/>
  <c r="I42" i="3"/>
  <c r="T41" i="3"/>
  <c r="S41" i="3"/>
  <c r="R41" i="3"/>
  <c r="Q41" i="3"/>
  <c r="P41" i="3"/>
  <c r="O41" i="3"/>
  <c r="N41" i="3"/>
  <c r="M41" i="3"/>
  <c r="L41" i="3"/>
  <c r="K41" i="3"/>
  <c r="J41" i="3"/>
  <c r="I41" i="3"/>
  <c r="U41" i="3" s="1"/>
  <c r="T40" i="3"/>
  <c r="S40" i="3"/>
  <c r="R40" i="3"/>
  <c r="Q40" i="3"/>
  <c r="P40" i="3"/>
  <c r="O40" i="3"/>
  <c r="N40" i="3"/>
  <c r="M40" i="3"/>
  <c r="L40" i="3"/>
  <c r="K40" i="3"/>
  <c r="J40" i="3"/>
  <c r="I40" i="3"/>
  <c r="T39" i="3"/>
  <c r="S39" i="3"/>
  <c r="R39" i="3"/>
  <c r="Q39" i="3"/>
  <c r="P39" i="3"/>
  <c r="O39" i="3"/>
  <c r="N39" i="3"/>
  <c r="M39" i="3"/>
  <c r="L39" i="3"/>
  <c r="K39" i="3"/>
  <c r="J39" i="3"/>
  <c r="I39" i="3"/>
  <c r="U39" i="3" s="1"/>
  <c r="T38" i="3"/>
  <c r="S38" i="3"/>
  <c r="R38" i="3"/>
  <c r="Q38" i="3"/>
  <c r="P38" i="3"/>
  <c r="O38" i="3"/>
  <c r="N38" i="3"/>
  <c r="M38" i="3"/>
  <c r="L38" i="3"/>
  <c r="K38" i="3"/>
  <c r="J38" i="3"/>
  <c r="I38" i="3"/>
  <c r="T37" i="3"/>
  <c r="S37" i="3"/>
  <c r="R37" i="3"/>
  <c r="Q37" i="3"/>
  <c r="P37" i="3"/>
  <c r="O37" i="3"/>
  <c r="N37" i="3"/>
  <c r="M37" i="3"/>
  <c r="L37" i="3"/>
  <c r="K37" i="3"/>
  <c r="J37" i="3"/>
  <c r="I37" i="3"/>
  <c r="U37" i="3" s="1"/>
  <c r="T36" i="3"/>
  <c r="S36" i="3"/>
  <c r="R36" i="3"/>
  <c r="Q36" i="3"/>
  <c r="P36" i="3"/>
  <c r="O36" i="3"/>
  <c r="N36" i="3"/>
  <c r="M36" i="3"/>
  <c r="L36" i="3"/>
  <c r="K36" i="3"/>
  <c r="U36" i="3" s="1"/>
  <c r="J36" i="3"/>
  <c r="I36" i="3"/>
  <c r="T35" i="3"/>
  <c r="S35" i="3"/>
  <c r="R35" i="3"/>
  <c r="Q35" i="3"/>
  <c r="P35" i="3"/>
  <c r="O35" i="3"/>
  <c r="N35" i="3"/>
  <c r="M35" i="3"/>
  <c r="U35" i="3" s="1"/>
  <c r="L35" i="3"/>
  <c r="K35" i="3"/>
  <c r="J35" i="3"/>
  <c r="I35" i="3"/>
  <c r="T34" i="3"/>
  <c r="S34" i="3"/>
  <c r="R34" i="3"/>
  <c r="Q34" i="3"/>
  <c r="P34" i="3"/>
  <c r="O34" i="3"/>
  <c r="N34" i="3"/>
  <c r="M34" i="3"/>
  <c r="L34" i="3"/>
  <c r="K34" i="3"/>
  <c r="J34" i="3"/>
  <c r="I34" i="3"/>
  <c r="T33" i="3"/>
  <c r="S33" i="3"/>
  <c r="R33" i="3"/>
  <c r="Q33" i="3"/>
  <c r="P33" i="3"/>
  <c r="O33" i="3"/>
  <c r="N33" i="3"/>
  <c r="M33" i="3"/>
  <c r="L33" i="3"/>
  <c r="K33" i="3"/>
  <c r="J33" i="3"/>
  <c r="U33" i="3" s="1"/>
  <c r="I33" i="3"/>
  <c r="T32" i="3"/>
  <c r="S32" i="3"/>
  <c r="R32" i="3"/>
  <c r="Q32" i="3"/>
  <c r="P32" i="3"/>
  <c r="O32" i="3"/>
  <c r="N32" i="3"/>
  <c r="M32" i="3"/>
  <c r="L32" i="3"/>
  <c r="K32" i="3"/>
  <c r="J32" i="3"/>
  <c r="I32" i="3"/>
  <c r="T31" i="3"/>
  <c r="S31" i="3"/>
  <c r="R31" i="3"/>
  <c r="Q31" i="3"/>
  <c r="P31" i="3"/>
  <c r="O31" i="3"/>
  <c r="N31" i="3"/>
  <c r="M31" i="3"/>
  <c r="L31" i="3"/>
  <c r="K31" i="3"/>
  <c r="J31" i="3"/>
  <c r="I31" i="3"/>
  <c r="U31" i="3" s="1"/>
  <c r="T30" i="3"/>
  <c r="S30" i="3"/>
  <c r="R30" i="3"/>
  <c r="Q30" i="3"/>
  <c r="P30" i="3"/>
  <c r="O30" i="3"/>
  <c r="N30" i="3"/>
  <c r="M30" i="3"/>
  <c r="L30" i="3"/>
  <c r="K30" i="3"/>
  <c r="J30" i="3"/>
  <c r="I30" i="3"/>
  <c r="T29" i="3"/>
  <c r="S29" i="3"/>
  <c r="R29" i="3"/>
  <c r="Q29" i="3"/>
  <c r="P29" i="3"/>
  <c r="O29" i="3"/>
  <c r="N29" i="3"/>
  <c r="M29" i="3"/>
  <c r="L29" i="3"/>
  <c r="K29" i="3"/>
  <c r="J29" i="3"/>
  <c r="I29" i="3"/>
  <c r="U29" i="3" s="1"/>
  <c r="T28" i="3"/>
  <c r="S28" i="3"/>
  <c r="R28" i="3"/>
  <c r="Q28" i="3"/>
  <c r="P28" i="3"/>
  <c r="O28" i="3"/>
  <c r="N28" i="3"/>
  <c r="M28" i="3"/>
  <c r="L28" i="3"/>
  <c r="K28" i="3"/>
  <c r="U28" i="3" s="1"/>
  <c r="J28" i="3"/>
  <c r="I28" i="3"/>
  <c r="T27" i="3"/>
  <c r="S27" i="3"/>
  <c r="R27" i="3"/>
  <c r="Q27" i="3"/>
  <c r="P27" i="3"/>
  <c r="O27" i="3"/>
  <c r="N27" i="3"/>
  <c r="M27" i="3"/>
  <c r="U27" i="3" s="1"/>
  <c r="L27" i="3"/>
  <c r="K27" i="3"/>
  <c r="J27" i="3"/>
  <c r="I27" i="3"/>
  <c r="T26" i="3"/>
  <c r="S26" i="3"/>
  <c r="R26" i="3"/>
  <c r="Q26" i="3"/>
  <c r="P26" i="3"/>
  <c r="O26" i="3"/>
  <c r="N26" i="3"/>
  <c r="M26" i="3"/>
  <c r="L26" i="3"/>
  <c r="K26" i="3"/>
  <c r="J26" i="3"/>
  <c r="I26" i="3"/>
  <c r="T25" i="3"/>
  <c r="S25" i="3"/>
  <c r="R25" i="3"/>
  <c r="Q25" i="3"/>
  <c r="P25" i="3"/>
  <c r="O25" i="3"/>
  <c r="N25" i="3"/>
  <c r="M25" i="3"/>
  <c r="L25" i="3"/>
  <c r="K25" i="3"/>
  <c r="J25" i="3"/>
  <c r="I25" i="3"/>
  <c r="T24" i="3"/>
  <c r="S24" i="3"/>
  <c r="R24" i="3"/>
  <c r="Q24" i="3"/>
  <c r="P24" i="3"/>
  <c r="O24" i="3"/>
  <c r="N24" i="3"/>
  <c r="M24" i="3"/>
  <c r="L24" i="3"/>
  <c r="K24" i="3"/>
  <c r="J24" i="3"/>
  <c r="I24" i="3"/>
  <c r="T23" i="3"/>
  <c r="S23" i="3"/>
  <c r="R23" i="3"/>
  <c r="Q23" i="3"/>
  <c r="P23" i="3"/>
  <c r="O23" i="3"/>
  <c r="N23" i="3"/>
  <c r="M23" i="3"/>
  <c r="L23" i="3"/>
  <c r="K23" i="3"/>
  <c r="J23" i="3"/>
  <c r="I23" i="3"/>
  <c r="U23" i="3" s="1"/>
  <c r="T22" i="3"/>
  <c r="S22" i="3"/>
  <c r="R22" i="3"/>
  <c r="Q22" i="3"/>
  <c r="P22" i="3"/>
  <c r="O22" i="3"/>
  <c r="N22" i="3"/>
  <c r="M22" i="3"/>
  <c r="L22" i="3"/>
  <c r="K22" i="3"/>
  <c r="J22" i="3"/>
  <c r="I22" i="3"/>
  <c r="T21" i="3"/>
  <c r="S21" i="3"/>
  <c r="R21" i="3"/>
  <c r="Q21" i="3"/>
  <c r="P21" i="3"/>
  <c r="O21" i="3"/>
  <c r="N21" i="3"/>
  <c r="M21" i="3"/>
  <c r="L21" i="3"/>
  <c r="K21" i="3"/>
  <c r="J21" i="3"/>
  <c r="I21" i="3"/>
  <c r="T20" i="3"/>
  <c r="S20" i="3"/>
  <c r="R20" i="3"/>
  <c r="Q20" i="3"/>
  <c r="P20" i="3"/>
  <c r="O20" i="3"/>
  <c r="N20" i="3"/>
  <c r="M20" i="3"/>
  <c r="L20" i="3"/>
  <c r="K20" i="3"/>
  <c r="J20" i="3"/>
  <c r="I20" i="3"/>
  <c r="T19" i="3"/>
  <c r="S19" i="3"/>
  <c r="R19" i="3"/>
  <c r="Q19" i="3"/>
  <c r="P19" i="3"/>
  <c r="O19" i="3"/>
  <c r="N19" i="3"/>
  <c r="M19" i="3"/>
  <c r="U19" i="3" s="1"/>
  <c r="L19" i="3"/>
  <c r="K19" i="3"/>
  <c r="J19" i="3"/>
  <c r="I19" i="3"/>
  <c r="T18" i="3"/>
  <c r="S18" i="3"/>
  <c r="R18" i="3"/>
  <c r="Q18" i="3"/>
  <c r="P18" i="3"/>
  <c r="O18" i="3"/>
  <c r="N18" i="3"/>
  <c r="M18" i="3"/>
  <c r="L18" i="3"/>
  <c r="K18" i="3"/>
  <c r="J18" i="3"/>
  <c r="I18" i="3"/>
  <c r="U18" i="3" s="1"/>
  <c r="T17" i="3"/>
  <c r="S17" i="3"/>
  <c r="R17" i="3"/>
  <c r="Q17" i="3"/>
  <c r="P17" i="3"/>
  <c r="O17" i="3"/>
  <c r="N17" i="3"/>
  <c r="M17" i="3"/>
  <c r="L17" i="3"/>
  <c r="K17" i="3"/>
  <c r="J17" i="3"/>
  <c r="I17" i="3"/>
  <c r="T16" i="3"/>
  <c r="S16" i="3"/>
  <c r="R16" i="3"/>
  <c r="Q16" i="3"/>
  <c r="P16" i="3"/>
  <c r="O16" i="3"/>
  <c r="N16" i="3"/>
  <c r="M16" i="3"/>
  <c r="L16" i="3"/>
  <c r="K16" i="3"/>
  <c r="J16" i="3"/>
  <c r="I16" i="3"/>
  <c r="U16" i="3" s="1"/>
  <c r="T15" i="3"/>
  <c r="S15" i="3"/>
  <c r="R15" i="3"/>
  <c r="Q15" i="3"/>
  <c r="P15" i="3"/>
  <c r="O15" i="3"/>
  <c r="N15" i="3"/>
  <c r="M15" i="3"/>
  <c r="L15" i="3"/>
  <c r="K15" i="3"/>
  <c r="J15" i="3"/>
  <c r="I15" i="3"/>
  <c r="U15" i="3" s="1"/>
  <c r="T14" i="3"/>
  <c r="S14" i="3"/>
  <c r="R14" i="3"/>
  <c r="Q14" i="3"/>
  <c r="P14" i="3"/>
  <c r="O14" i="3"/>
  <c r="N14" i="3"/>
  <c r="M14" i="3"/>
  <c r="L14" i="3"/>
  <c r="K14" i="3"/>
  <c r="J14" i="3"/>
  <c r="I14" i="3"/>
  <c r="T13" i="3"/>
  <c r="S13" i="3"/>
  <c r="R13" i="3"/>
  <c r="Q13" i="3"/>
  <c r="P13" i="3"/>
  <c r="O13" i="3"/>
  <c r="N13" i="3"/>
  <c r="M13" i="3"/>
  <c r="L13" i="3"/>
  <c r="K13" i="3"/>
  <c r="J13" i="3"/>
  <c r="I13" i="3"/>
  <c r="T12" i="3"/>
  <c r="S12" i="3"/>
  <c r="R12" i="3"/>
  <c r="Q12" i="3"/>
  <c r="P12" i="3"/>
  <c r="O12" i="3"/>
  <c r="N12" i="3"/>
  <c r="M12" i="3"/>
  <c r="L12" i="3"/>
  <c r="K12" i="3"/>
  <c r="J12" i="3"/>
  <c r="I12" i="3"/>
  <c r="T11" i="3"/>
  <c r="S11" i="3"/>
  <c r="R11" i="3"/>
  <c r="Q11" i="3"/>
  <c r="P11" i="3"/>
  <c r="O11" i="3"/>
  <c r="N11" i="3"/>
  <c r="M11" i="3"/>
  <c r="U11" i="3" s="1"/>
  <c r="L11" i="3"/>
  <c r="K11" i="3"/>
  <c r="J11" i="3"/>
  <c r="I11" i="3"/>
  <c r="T10" i="3"/>
  <c r="S10" i="3"/>
  <c r="R10" i="3"/>
  <c r="Q10" i="3"/>
  <c r="P10" i="3"/>
  <c r="O10" i="3"/>
  <c r="N10" i="3"/>
  <c r="M10" i="3"/>
  <c r="L10" i="3"/>
  <c r="K10" i="3"/>
  <c r="J10" i="3"/>
  <c r="I10" i="3"/>
  <c r="U10" i="3" s="1"/>
  <c r="I13" i="14" s="1"/>
  <c r="T9" i="3"/>
  <c r="S9" i="3"/>
  <c r="R9" i="3"/>
  <c r="Q9" i="3"/>
  <c r="P9" i="3"/>
  <c r="O9" i="3"/>
  <c r="N9" i="3"/>
  <c r="M9" i="3"/>
  <c r="L9" i="3"/>
  <c r="K9" i="3"/>
  <c r="J9" i="3"/>
  <c r="I9" i="3"/>
  <c r="T8" i="3"/>
  <c r="S8" i="3"/>
  <c r="R8" i="3"/>
  <c r="Q8" i="3"/>
  <c r="P8" i="3"/>
  <c r="O8" i="3"/>
  <c r="N8" i="3"/>
  <c r="M8" i="3"/>
  <c r="L8" i="3"/>
  <c r="K8" i="3"/>
  <c r="J8" i="3"/>
  <c r="I8" i="3"/>
  <c r="U8" i="3" s="1"/>
  <c r="T7" i="3"/>
  <c r="S7" i="3"/>
  <c r="R7" i="3"/>
  <c r="Q7" i="3"/>
  <c r="P7" i="3"/>
  <c r="O7" i="3"/>
  <c r="N7" i="3"/>
  <c r="M7" i="3"/>
  <c r="L7" i="3"/>
  <c r="K7" i="3"/>
  <c r="J7" i="3"/>
  <c r="I7" i="3"/>
  <c r="T6" i="3"/>
  <c r="S6" i="3"/>
  <c r="R6" i="3"/>
  <c r="Q6" i="3"/>
  <c r="P6" i="3"/>
  <c r="O6" i="3"/>
  <c r="N6" i="3"/>
  <c r="M6" i="3"/>
  <c r="L6" i="3"/>
  <c r="K6" i="3"/>
  <c r="J6" i="3"/>
  <c r="I6" i="3"/>
  <c r="U6" i="3" s="1"/>
  <c r="T5" i="3"/>
  <c r="S5" i="3"/>
  <c r="R5" i="3"/>
  <c r="Q5" i="3"/>
  <c r="P5" i="3"/>
  <c r="O5" i="3"/>
  <c r="N5" i="3"/>
  <c r="M5" i="3"/>
  <c r="L5" i="3"/>
  <c r="K5" i="3"/>
  <c r="J5" i="3"/>
  <c r="I5" i="3"/>
  <c r="U5" i="3" s="1"/>
  <c r="T4" i="3"/>
  <c r="S4" i="3"/>
  <c r="R4" i="3"/>
  <c r="Q4" i="3"/>
  <c r="P4" i="3"/>
  <c r="O4" i="3"/>
  <c r="N4" i="3"/>
  <c r="M4" i="3"/>
  <c r="L4" i="3"/>
  <c r="K4" i="3"/>
  <c r="J4" i="3"/>
  <c r="U4" i="3" s="1"/>
  <c r="I4" i="3"/>
  <c r="T3" i="3"/>
  <c r="S3" i="3"/>
  <c r="R3" i="3"/>
  <c r="Q3" i="3"/>
  <c r="P3" i="3"/>
  <c r="O3" i="3"/>
  <c r="N3" i="3"/>
  <c r="M3" i="3"/>
  <c r="L3" i="3"/>
  <c r="K3" i="3"/>
  <c r="J3" i="3"/>
  <c r="U3" i="3" s="1"/>
  <c r="I3" i="3"/>
  <c r="T2" i="3"/>
  <c r="S2" i="3"/>
  <c r="R2" i="3"/>
  <c r="Q2" i="3"/>
  <c r="P2" i="3"/>
  <c r="O2" i="3"/>
  <c r="N2" i="3"/>
  <c r="M2" i="3"/>
  <c r="U2" i="3" s="1"/>
  <c r="L2" i="3"/>
  <c r="K2" i="3"/>
  <c r="J2" i="3"/>
  <c r="I2" i="3"/>
  <c r="H1" i="2"/>
  <c r="I9" i="23" l="1"/>
  <c r="I9" i="8"/>
  <c r="I9" i="14"/>
  <c r="I9" i="6"/>
  <c r="I9" i="7"/>
  <c r="I9" i="9"/>
  <c r="I14" i="23"/>
  <c r="AS66" i="23" s="1"/>
  <c r="I14" i="9"/>
  <c r="I14" i="7"/>
  <c r="I14" i="8"/>
  <c r="I14" i="14"/>
  <c r="I14" i="6"/>
  <c r="I22" i="23"/>
  <c r="AV74" i="23" s="1"/>
  <c r="I22" i="7"/>
  <c r="I22" i="6"/>
  <c r="I22" i="9"/>
  <c r="I22" i="14"/>
  <c r="I22" i="8"/>
  <c r="I30" i="23"/>
  <c r="I30" i="6"/>
  <c r="I30" i="9"/>
  <c r="I30" i="7"/>
  <c r="I30" i="8"/>
  <c r="I30" i="14"/>
  <c r="I38" i="23"/>
  <c r="I38" i="6"/>
  <c r="I38" i="9"/>
  <c r="I38" i="7"/>
  <c r="I38" i="8"/>
  <c r="I38" i="14"/>
  <c r="I46" i="23"/>
  <c r="I46" i="6"/>
  <c r="I46" i="9"/>
  <c r="I46" i="7"/>
  <c r="I46" i="8"/>
  <c r="I46" i="14"/>
  <c r="I7" i="24"/>
  <c r="I7" i="13"/>
  <c r="I7" i="12"/>
  <c r="I7" i="11"/>
  <c r="I7" i="10"/>
  <c r="I15" i="24"/>
  <c r="AC57" i="24" s="1"/>
  <c r="I15" i="13"/>
  <c r="I15" i="12"/>
  <c r="I15" i="11"/>
  <c r="I15" i="10"/>
  <c r="I23" i="24"/>
  <c r="I23" i="13"/>
  <c r="I23" i="12"/>
  <c r="I23" i="11"/>
  <c r="I23" i="10"/>
  <c r="I31" i="24"/>
  <c r="I31" i="13"/>
  <c r="I31" i="12"/>
  <c r="I31" i="11"/>
  <c r="I31" i="10"/>
  <c r="I39" i="24"/>
  <c r="I39" i="13"/>
  <c r="I39" i="12"/>
  <c r="I39" i="11"/>
  <c r="I39" i="10"/>
  <c r="I7" i="23"/>
  <c r="I7" i="9"/>
  <c r="I7" i="7"/>
  <c r="I7" i="8"/>
  <c r="I7" i="14"/>
  <c r="I7" i="6"/>
  <c r="I5" i="23"/>
  <c r="AR57" i="23" s="1"/>
  <c r="I5" i="6"/>
  <c r="I5" i="9"/>
  <c r="I5" i="7"/>
  <c r="I5" i="8"/>
  <c r="I5" i="14"/>
  <c r="I8" i="23"/>
  <c r="I8" i="9"/>
  <c r="I8" i="7"/>
  <c r="I8" i="8"/>
  <c r="I8" i="14"/>
  <c r="I8" i="6"/>
  <c r="I6" i="23"/>
  <c r="I6" i="9"/>
  <c r="I6" i="7"/>
  <c r="I6" i="8"/>
  <c r="I6" i="14"/>
  <c r="I6" i="6"/>
  <c r="U21" i="3"/>
  <c r="I26" i="23"/>
  <c r="I26" i="8"/>
  <c r="I26" i="7"/>
  <c r="I26" i="6"/>
  <c r="I26" i="14"/>
  <c r="I26" i="9"/>
  <c r="U25" i="3"/>
  <c r="I39" i="23"/>
  <c r="I39" i="7"/>
  <c r="I39" i="6"/>
  <c r="I39" i="9"/>
  <c r="I39" i="14"/>
  <c r="I39" i="8"/>
  <c r="U5" i="4"/>
  <c r="I10" i="24"/>
  <c r="Z52" i="24" s="1"/>
  <c r="I10" i="12"/>
  <c r="I10" i="11"/>
  <c r="I10" i="10"/>
  <c r="I10" i="13"/>
  <c r="U9" i="4"/>
  <c r="U11" i="4"/>
  <c r="U38" i="4"/>
  <c r="I32" i="23"/>
  <c r="I32" i="9"/>
  <c r="I32" i="8"/>
  <c r="I32" i="14"/>
  <c r="I32" i="7"/>
  <c r="I34" i="23"/>
  <c r="I34" i="8"/>
  <c r="I34" i="7"/>
  <c r="I34" i="6"/>
  <c r="I34" i="14"/>
  <c r="I34" i="9"/>
  <c r="I16" i="24"/>
  <c r="I16" i="12"/>
  <c r="I16" i="11"/>
  <c r="I16" i="10"/>
  <c r="I18" i="24"/>
  <c r="AD60" i="24" s="1"/>
  <c r="I18" i="12"/>
  <c r="I18" i="11"/>
  <c r="I18" i="10"/>
  <c r="I18" i="13"/>
  <c r="I20" i="24"/>
  <c r="AF62" i="24" s="1"/>
  <c r="I20" i="13"/>
  <c r="I20" i="12"/>
  <c r="I20" i="11"/>
  <c r="I20" i="10"/>
  <c r="I22" i="24"/>
  <c r="AB64" i="24" s="1"/>
  <c r="I22" i="13"/>
  <c r="I22" i="12"/>
  <c r="I22" i="11"/>
  <c r="I22" i="10"/>
  <c r="I16" i="13"/>
  <c r="AJ2" i="16"/>
  <c r="AJ7" i="16" s="1"/>
  <c r="AT2" i="16"/>
  <c r="I36" i="23"/>
  <c r="I36" i="6"/>
  <c r="I36" i="9"/>
  <c r="I36" i="14"/>
  <c r="I36" i="7"/>
  <c r="I40" i="23"/>
  <c r="BA92" i="23" s="1"/>
  <c r="I40" i="9"/>
  <c r="I40" i="8"/>
  <c r="I40" i="14"/>
  <c r="I40" i="7"/>
  <c r="I42" i="23"/>
  <c r="I42" i="8"/>
  <c r="I42" i="7"/>
  <c r="I42" i="6"/>
  <c r="I42" i="14"/>
  <c r="I42" i="9"/>
  <c r="I44" i="23"/>
  <c r="AI96" i="23" s="1"/>
  <c r="I44" i="6"/>
  <c r="I44" i="9"/>
  <c r="I44" i="14"/>
  <c r="I44" i="7"/>
  <c r="U21" i="4"/>
  <c r="I26" i="24"/>
  <c r="AB68" i="24" s="1"/>
  <c r="I26" i="12"/>
  <c r="I26" i="11"/>
  <c r="I26" i="10"/>
  <c r="I26" i="13"/>
  <c r="I28" i="24"/>
  <c r="I28" i="13"/>
  <c r="I28" i="12"/>
  <c r="I28" i="11"/>
  <c r="I28" i="10"/>
  <c r="I30" i="24"/>
  <c r="I30" i="13"/>
  <c r="I30" i="12"/>
  <c r="I30" i="11"/>
  <c r="I30" i="10"/>
  <c r="I19" i="23"/>
  <c r="AZ71" i="23" s="1"/>
  <c r="I19" i="8"/>
  <c r="I19" i="14"/>
  <c r="I19" i="6"/>
  <c r="I19" i="9"/>
  <c r="I19" i="7"/>
  <c r="I21" i="23"/>
  <c r="I21" i="6"/>
  <c r="I21" i="9"/>
  <c r="I21" i="7"/>
  <c r="I21" i="8"/>
  <c r="I48" i="23"/>
  <c r="I48" i="9"/>
  <c r="I48" i="8"/>
  <c r="I48" i="14"/>
  <c r="I48" i="7"/>
  <c r="I50" i="23"/>
  <c r="I50" i="8"/>
  <c r="I50" i="7"/>
  <c r="I50" i="6"/>
  <c r="I50" i="14"/>
  <c r="I50" i="9"/>
  <c r="U2" i="4"/>
  <c r="U29" i="4"/>
  <c r="I34" i="24"/>
  <c r="AB76" i="24" s="1"/>
  <c r="I34" i="12"/>
  <c r="I34" i="11"/>
  <c r="I34" i="10"/>
  <c r="I34" i="13"/>
  <c r="I36" i="24"/>
  <c r="I36" i="13"/>
  <c r="I36" i="12"/>
  <c r="I36" i="11"/>
  <c r="I36" i="10"/>
  <c r="I38" i="24"/>
  <c r="I38" i="13"/>
  <c r="I38" i="12"/>
  <c r="I38" i="11"/>
  <c r="I38" i="10"/>
  <c r="I32" i="6"/>
  <c r="U22" i="3"/>
  <c r="U24" i="3"/>
  <c r="U26" i="3"/>
  <c r="U6" i="4"/>
  <c r="I11" i="24"/>
  <c r="I11" i="13"/>
  <c r="U10" i="4"/>
  <c r="U37" i="4"/>
  <c r="I40" i="6"/>
  <c r="I11" i="23"/>
  <c r="I11" i="8"/>
  <c r="I11" i="14"/>
  <c r="I11" i="6"/>
  <c r="I11" i="9"/>
  <c r="I11" i="7"/>
  <c r="U12" i="3"/>
  <c r="U14" i="3"/>
  <c r="U30" i="3"/>
  <c r="U32" i="3"/>
  <c r="U34" i="3"/>
  <c r="U14" i="4"/>
  <c r="I19" i="24"/>
  <c r="I19" i="13"/>
  <c r="U18" i="4"/>
  <c r="I48" i="6"/>
  <c r="I36" i="8"/>
  <c r="I21" i="14"/>
  <c r="I13" i="23"/>
  <c r="AO65" i="23" s="1"/>
  <c r="I13" i="6"/>
  <c r="I13" i="9"/>
  <c r="I13" i="7"/>
  <c r="I13" i="8"/>
  <c r="U7" i="3"/>
  <c r="P12" i="5" s="1"/>
  <c r="P15" i="5" s="1"/>
  <c r="U9" i="3"/>
  <c r="U20" i="3"/>
  <c r="U38" i="3"/>
  <c r="U40" i="3"/>
  <c r="U42" i="3"/>
  <c r="U22" i="4"/>
  <c r="I27" i="24"/>
  <c r="I27" i="13"/>
  <c r="U26" i="4"/>
  <c r="I44" i="8"/>
  <c r="I11" i="12"/>
  <c r="U13" i="3"/>
  <c r="I18" i="23"/>
  <c r="AZ70" i="23" s="1"/>
  <c r="I18" i="8"/>
  <c r="I18" i="14"/>
  <c r="I18" i="6"/>
  <c r="I18" i="9"/>
  <c r="I18" i="7"/>
  <c r="U17" i="3"/>
  <c r="I31" i="23"/>
  <c r="I31" i="7"/>
  <c r="I31" i="6"/>
  <c r="I31" i="9"/>
  <c r="I31" i="14"/>
  <c r="I31" i="8"/>
  <c r="I47" i="23"/>
  <c r="I47" i="7"/>
  <c r="I47" i="6"/>
  <c r="I47" i="9"/>
  <c r="I47" i="14"/>
  <c r="I47" i="8"/>
  <c r="I49" i="23"/>
  <c r="I49" i="14"/>
  <c r="I49" i="8"/>
  <c r="I49" i="7"/>
  <c r="I49" i="6"/>
  <c r="U48" i="3"/>
  <c r="U3" i="4"/>
  <c r="U30" i="4"/>
  <c r="I35" i="24"/>
  <c r="I35" i="13"/>
  <c r="U34" i="4"/>
  <c r="I11" i="11"/>
  <c r="I19" i="12"/>
  <c r="AO2" i="16"/>
  <c r="AO7" i="16" s="1"/>
  <c r="AM57" i="7"/>
  <c r="AT3" i="16"/>
  <c r="AJ3" i="16"/>
  <c r="AT4" i="16"/>
  <c r="AJ4" i="16"/>
  <c r="AO3" i="16"/>
  <c r="AO4" i="16"/>
  <c r="AO6" i="16"/>
  <c r="AT6" i="16"/>
  <c r="AJ6" i="16"/>
  <c r="AC53" i="17"/>
  <c r="AC61" i="17"/>
  <c r="AC69" i="17"/>
  <c r="AC77" i="17"/>
  <c r="AC85" i="17"/>
  <c r="AA10" i="21"/>
  <c r="AA11" i="21"/>
  <c r="AT5" i="16"/>
  <c r="AO5" i="16"/>
  <c r="AC8" i="17"/>
  <c r="AC16" i="17"/>
  <c r="AC24" i="17"/>
  <c r="AC32" i="17"/>
  <c r="AC40" i="17"/>
  <c r="AC48" i="17"/>
  <c r="AC56" i="17"/>
  <c r="AC64" i="17"/>
  <c r="AC72" i="17"/>
  <c r="AC80" i="17"/>
  <c r="AC88" i="17"/>
  <c r="AC3" i="17"/>
  <c r="AC11" i="17"/>
  <c r="AC19" i="17"/>
  <c r="AC27" i="17"/>
  <c r="AC35" i="17"/>
  <c r="AC43" i="17"/>
  <c r="AC51" i="17"/>
  <c r="AC59" i="17"/>
  <c r="AC67" i="17"/>
  <c r="AC75" i="17"/>
  <c r="AC83" i="17"/>
  <c r="AI3" i="21"/>
  <c r="AI5" i="21"/>
  <c r="AC6" i="17"/>
  <c r="AC14" i="17"/>
  <c r="AC22" i="17"/>
  <c r="AC30" i="17"/>
  <c r="AC38" i="17"/>
  <c r="AC46" i="17"/>
  <c r="AC54" i="17"/>
  <c r="AC62" i="17"/>
  <c r="AC70" i="17"/>
  <c r="AC78" i="17"/>
  <c r="AC86" i="17"/>
  <c r="R12" i="21"/>
  <c r="AC49" i="17"/>
  <c r="AI6" i="17" s="1"/>
  <c r="AC57" i="17"/>
  <c r="AC65" i="17"/>
  <c r="AC73" i="17"/>
  <c r="AC81" i="17"/>
  <c r="AC90" i="17"/>
  <c r="AC92" i="17"/>
  <c r="AI5" i="17" s="1"/>
  <c r="AC94" i="17"/>
  <c r="AC96" i="17"/>
  <c r="AC98" i="17"/>
  <c r="AC100" i="17"/>
  <c r="AC44" i="17"/>
  <c r="AC52" i="17"/>
  <c r="AC60" i="17"/>
  <c r="AC68" i="17"/>
  <c r="AC76" i="17"/>
  <c r="AC84" i="17"/>
  <c r="Y13" i="21"/>
  <c r="AG13" i="21" s="1"/>
  <c r="AC7" i="17"/>
  <c r="AC15" i="17"/>
  <c r="AC23" i="17"/>
  <c r="AC31" i="17"/>
  <c r="AC39" i="17"/>
  <c r="AC47" i="17"/>
  <c r="AC55" i="17"/>
  <c r="AC63" i="17"/>
  <c r="AC71" i="17"/>
  <c r="AC79" i="17"/>
  <c r="AC87" i="17"/>
  <c r="AC2" i="17"/>
  <c r="AC10" i="17"/>
  <c r="AC18" i="17"/>
  <c r="AC26" i="17"/>
  <c r="AC34" i="17"/>
  <c r="AC29" i="17"/>
  <c r="AC42" i="17"/>
  <c r="AC50" i="17"/>
  <c r="AC58" i="17"/>
  <c r="AI7" i="17" s="1"/>
  <c r="AC66" i="17"/>
  <c r="AC74" i="17"/>
  <c r="AC82" i="17"/>
  <c r="AG56" i="7"/>
  <c r="E36" i="5"/>
  <c r="D30" i="5" s="1"/>
  <c r="F36" i="5"/>
  <c r="AZ57" i="23"/>
  <c r="AY57" i="23"/>
  <c r="AQ57" i="23"/>
  <c r="AI57" i="23"/>
  <c r="AX57" i="23"/>
  <c r="AP57" i="23"/>
  <c r="AW57" i="23"/>
  <c r="AO57" i="23"/>
  <c r="BD57" i="23"/>
  <c r="AV57" i="23"/>
  <c r="AN57" i="23"/>
  <c r="BC57" i="23"/>
  <c r="AU57" i="23"/>
  <c r="AM57" i="23"/>
  <c r="BB57" i="23"/>
  <c r="AT57" i="23"/>
  <c r="AL57" i="23"/>
  <c r="BA57" i="23"/>
  <c r="AS57" i="23"/>
  <c r="AK57" i="23"/>
  <c r="AZ65" i="23"/>
  <c r="AR65" i="23"/>
  <c r="AJ65" i="23"/>
  <c r="AX65" i="23"/>
  <c r="AP65" i="23"/>
  <c r="BD65" i="23"/>
  <c r="AV65" i="23"/>
  <c r="AN65" i="23"/>
  <c r="BB65" i="23"/>
  <c r="AT65" i="23"/>
  <c r="AL65" i="23"/>
  <c r="BC65" i="23"/>
  <c r="AM65" i="23"/>
  <c r="BA65" i="23"/>
  <c r="AK65" i="23"/>
  <c r="AY65" i="23"/>
  <c r="AI65" i="23"/>
  <c r="AW65" i="23"/>
  <c r="AU65" i="23"/>
  <c r="AS65" i="23"/>
  <c r="AQ65" i="23"/>
  <c r="AY73" i="23"/>
  <c r="AQ73" i="23"/>
  <c r="AI73" i="23"/>
  <c r="R73" i="23"/>
  <c r="AW73" i="23"/>
  <c r="AO73" i="23"/>
  <c r="P73" i="23"/>
  <c r="AU73" i="23"/>
  <c r="AK73" i="23"/>
  <c r="BD73" i="23"/>
  <c r="AT73" i="23"/>
  <c r="AJ73" i="23"/>
  <c r="BC73" i="23"/>
  <c r="AS73" i="23"/>
  <c r="BB73" i="23"/>
  <c r="AR73" i="23"/>
  <c r="BA73" i="23"/>
  <c r="AP73" i="23"/>
  <c r="AX73" i="23"/>
  <c r="AM73" i="23"/>
  <c r="AN73" i="23"/>
  <c r="AL73" i="23"/>
  <c r="AZ73" i="23"/>
  <c r="AV73" i="23"/>
  <c r="AJ57" i="23"/>
  <c r="BD66" i="23"/>
  <c r="AV66" i="23"/>
  <c r="AN66" i="23"/>
  <c r="BB66" i="23"/>
  <c r="AT66" i="23"/>
  <c r="AL66" i="23"/>
  <c r="AZ66" i="23"/>
  <c r="AR66" i="23"/>
  <c r="AJ66" i="23"/>
  <c r="AX66" i="23"/>
  <c r="AP66" i="23"/>
  <c r="BC74" i="23"/>
  <c r="AU74" i="23"/>
  <c r="AM74" i="23"/>
  <c r="BA74" i="23"/>
  <c r="AS74" i="23"/>
  <c r="AK74" i="23"/>
  <c r="AT74" i="23"/>
  <c r="AI74" i="23"/>
  <c r="BD74" i="23"/>
  <c r="AR74" i="23"/>
  <c r="BB74" i="23"/>
  <c r="AQ74" i="23"/>
  <c r="AZ74" i="23"/>
  <c r="AP74" i="23"/>
  <c r="AY74" i="23"/>
  <c r="AO74" i="23"/>
  <c r="R74" i="23"/>
  <c r="AW74" i="23"/>
  <c r="AL74" i="23"/>
  <c r="P74" i="23"/>
  <c r="AW82" i="23"/>
  <c r="AO82" i="23"/>
  <c r="BC82" i="23"/>
  <c r="AU82" i="23"/>
  <c r="AM82" i="23"/>
  <c r="BB82" i="23"/>
  <c r="AT82" i="23"/>
  <c r="AL82" i="23"/>
  <c r="AZ82" i="23"/>
  <c r="AR82" i="23"/>
  <c r="AJ82" i="23"/>
  <c r="AY82" i="23"/>
  <c r="AQ82" i="23"/>
  <c r="AI82" i="23"/>
  <c r="AP82" i="23"/>
  <c r="AN82" i="23"/>
  <c r="AK82" i="23"/>
  <c r="BD82" i="23"/>
  <c r="BA82" i="23"/>
  <c r="AX82" i="23"/>
  <c r="AV82" i="23"/>
  <c r="AS82" i="23"/>
  <c r="AW90" i="23"/>
  <c r="AO90" i="23"/>
  <c r="BC90" i="23"/>
  <c r="AU90" i="23"/>
  <c r="AM90" i="23"/>
  <c r="BB90" i="23"/>
  <c r="AT90" i="23"/>
  <c r="AL90" i="23"/>
  <c r="AZ90" i="23"/>
  <c r="AR90" i="23"/>
  <c r="AJ90" i="23"/>
  <c r="AY90" i="23"/>
  <c r="AQ90" i="23"/>
  <c r="AI90" i="23"/>
  <c r="BA90" i="23"/>
  <c r="AX90" i="23"/>
  <c r="AV90" i="23"/>
  <c r="AS90" i="23"/>
  <c r="AP90" i="23"/>
  <c r="AN90" i="23"/>
  <c r="AK90" i="23"/>
  <c r="AX98" i="23"/>
  <c r="AP98" i="23"/>
  <c r="AW98" i="23"/>
  <c r="AO98" i="23"/>
  <c r="BD98" i="23"/>
  <c r="AV98" i="23"/>
  <c r="AN98" i="23"/>
  <c r="BC98" i="23"/>
  <c r="AU98" i="23"/>
  <c r="AM98" i="23"/>
  <c r="BB98" i="23"/>
  <c r="AT98" i="23"/>
  <c r="AL98" i="23"/>
  <c r="BA98" i="23"/>
  <c r="AS98" i="23"/>
  <c r="AK98" i="23"/>
  <c r="AZ98" i="23"/>
  <c r="AR98" i="23"/>
  <c r="AJ98" i="23"/>
  <c r="AQ98" i="23"/>
  <c r="AI98" i="23"/>
  <c r="AY98" i="23"/>
  <c r="AO58" i="23"/>
  <c r="AW58" i="23"/>
  <c r="AK59" i="23"/>
  <c r="AS59" i="23"/>
  <c r="BA59" i="23"/>
  <c r="AO60" i="23"/>
  <c r="AW60" i="23"/>
  <c r="AK61" i="23"/>
  <c r="AS61" i="23"/>
  <c r="BA61" i="23"/>
  <c r="AI63" i="23"/>
  <c r="AY63" i="23"/>
  <c r="AU66" i="23"/>
  <c r="BD70" i="23"/>
  <c r="BB71" i="23"/>
  <c r="AX74" i="23"/>
  <c r="BA83" i="23"/>
  <c r="AS83" i="23"/>
  <c r="AK83" i="23"/>
  <c r="AY83" i="23"/>
  <c r="AQ83" i="23"/>
  <c r="AI83" i="23"/>
  <c r="AX83" i="23"/>
  <c r="AP83" i="23"/>
  <c r="BD83" i="23"/>
  <c r="AV83" i="23"/>
  <c r="AN83" i="23"/>
  <c r="BC83" i="23"/>
  <c r="AU83" i="23"/>
  <c r="AM83" i="23"/>
  <c r="AO83" i="23"/>
  <c r="AL83" i="23"/>
  <c r="AJ83" i="23"/>
  <c r="BB83" i="23"/>
  <c r="AZ83" i="23"/>
  <c r="AW83" i="23"/>
  <c r="AT83" i="23"/>
  <c r="BA91" i="23"/>
  <c r="AS91" i="23"/>
  <c r="AK91" i="23"/>
  <c r="AY91" i="23"/>
  <c r="AQ91" i="23"/>
  <c r="AI91" i="23"/>
  <c r="AX91" i="23"/>
  <c r="AP91" i="23"/>
  <c r="BD91" i="23"/>
  <c r="AV91" i="23"/>
  <c r="AN91" i="23"/>
  <c r="BC91" i="23"/>
  <c r="AU91" i="23"/>
  <c r="AM91" i="23"/>
  <c r="AZ91" i="23"/>
  <c r="AW91" i="23"/>
  <c r="AT91" i="23"/>
  <c r="AR91" i="23"/>
  <c r="AO91" i="23"/>
  <c r="AL91" i="23"/>
  <c r="BB91" i="23"/>
  <c r="AJ91" i="23"/>
  <c r="BB99" i="23"/>
  <c r="AT99" i="23"/>
  <c r="AL99" i="23"/>
  <c r="BA99" i="23"/>
  <c r="AS99" i="23"/>
  <c r="AK99" i="23"/>
  <c r="AZ99" i="23"/>
  <c r="AR99" i="23"/>
  <c r="AJ99" i="23"/>
  <c r="AY99" i="23"/>
  <c r="AQ99" i="23"/>
  <c r="AI99" i="23"/>
  <c r="AX99" i="23"/>
  <c r="AP99" i="23"/>
  <c r="AW99" i="23"/>
  <c r="AO99" i="23"/>
  <c r="BD99" i="23"/>
  <c r="AV99" i="23"/>
  <c r="AN99" i="23"/>
  <c r="BC99" i="23"/>
  <c r="AU99" i="23"/>
  <c r="AM99" i="23"/>
  <c r="AP58" i="23"/>
  <c r="AX58" i="23"/>
  <c r="AL59" i="23"/>
  <c r="AT59" i="23"/>
  <c r="BB59" i="23"/>
  <c r="AP60" i="23"/>
  <c r="AX60" i="23"/>
  <c r="AL61" i="23"/>
  <c r="AT61" i="23"/>
  <c r="BB61" i="23"/>
  <c r="AK63" i="23"/>
  <c r="BA63" i="23"/>
  <c r="AW66" i="23"/>
  <c r="AA53" i="24"/>
  <c r="AG53" i="24"/>
  <c r="Y53" i="24"/>
  <c r="AE53" i="24"/>
  <c r="AB53" i="24"/>
  <c r="Z53" i="24"/>
  <c r="X53" i="24"/>
  <c r="AH53" i="24"/>
  <c r="AF53" i="24"/>
  <c r="AD53" i="24"/>
  <c r="AC53" i="24"/>
  <c r="AC61" i="24"/>
  <c r="AB61" i="24"/>
  <c r="AA61" i="24"/>
  <c r="AH61" i="24"/>
  <c r="Z61" i="24"/>
  <c r="AG61" i="24"/>
  <c r="Y61" i="24"/>
  <c r="AE61" i="24"/>
  <c r="AF61" i="24"/>
  <c r="AD61" i="24"/>
  <c r="X61" i="24"/>
  <c r="AA69" i="24"/>
  <c r="AE69" i="24"/>
  <c r="AD69" i="24"/>
  <c r="AC69" i="24"/>
  <c r="AB69" i="24"/>
  <c r="Z69" i="24"/>
  <c r="AG69" i="24"/>
  <c r="X69" i="24"/>
  <c r="AH69" i="24"/>
  <c r="AF69" i="24"/>
  <c r="Y69" i="24"/>
  <c r="AA77" i="24"/>
  <c r="AH77" i="24"/>
  <c r="Z77" i="24"/>
  <c r="AG77" i="24"/>
  <c r="Y77" i="24"/>
  <c r="AE77" i="24"/>
  <c r="AF77" i="24"/>
  <c r="AD77" i="24"/>
  <c r="AC77" i="24"/>
  <c r="AB77" i="24"/>
  <c r="X77" i="24"/>
  <c r="AW84" i="23"/>
  <c r="AO84" i="23"/>
  <c r="BC84" i="23"/>
  <c r="AU84" i="23"/>
  <c r="AM84" i="23"/>
  <c r="BB84" i="23"/>
  <c r="AT84" i="23"/>
  <c r="AL84" i="23"/>
  <c r="AZ84" i="23"/>
  <c r="AR84" i="23"/>
  <c r="AJ84" i="23"/>
  <c r="AY84" i="23"/>
  <c r="AQ84" i="23"/>
  <c r="AI84" i="23"/>
  <c r="AN84" i="23"/>
  <c r="AK84" i="23"/>
  <c r="BD84" i="23"/>
  <c r="BA84" i="23"/>
  <c r="AX84" i="23"/>
  <c r="AV84" i="23"/>
  <c r="AS84" i="23"/>
  <c r="AP84" i="23"/>
  <c r="AW92" i="23"/>
  <c r="AO92" i="23"/>
  <c r="BC92" i="23"/>
  <c r="AU92" i="23"/>
  <c r="AM92" i="23"/>
  <c r="BB92" i="23"/>
  <c r="AT92" i="23"/>
  <c r="AL92" i="23"/>
  <c r="AZ92" i="23"/>
  <c r="AR92" i="23"/>
  <c r="AJ92" i="23"/>
  <c r="AY92" i="23"/>
  <c r="AQ92" i="23"/>
  <c r="AI92" i="23"/>
  <c r="AX92" i="23"/>
  <c r="AV92" i="23"/>
  <c r="AS92" i="23"/>
  <c r="AP92" i="23"/>
  <c r="AN92" i="23"/>
  <c r="AK92" i="23"/>
  <c r="BD92" i="23"/>
  <c r="AX100" i="23"/>
  <c r="AP100" i="23"/>
  <c r="AW100" i="23"/>
  <c r="AO100" i="23"/>
  <c r="BD100" i="23"/>
  <c r="AV100" i="23"/>
  <c r="AN100" i="23"/>
  <c r="BC100" i="23"/>
  <c r="AU100" i="23"/>
  <c r="AM100" i="23"/>
  <c r="BB100" i="23"/>
  <c r="AT100" i="23"/>
  <c r="AL100" i="23"/>
  <c r="BA100" i="23"/>
  <c r="AS100" i="23"/>
  <c r="AK100" i="23"/>
  <c r="AZ100" i="23"/>
  <c r="AR100" i="23"/>
  <c r="AJ100" i="23"/>
  <c r="AQ100" i="23"/>
  <c r="AI100" i="23"/>
  <c r="AY100" i="23"/>
  <c r="AI58" i="23"/>
  <c r="AQ58" i="23"/>
  <c r="AY58" i="23"/>
  <c r="AM59" i="23"/>
  <c r="AU59" i="23"/>
  <c r="BC59" i="23"/>
  <c r="AI60" i="23"/>
  <c r="AQ60" i="23"/>
  <c r="AY60" i="23"/>
  <c r="AM61" i="23"/>
  <c r="AU61" i="23"/>
  <c r="BC61" i="23"/>
  <c r="AM63" i="23"/>
  <c r="BC63" i="23"/>
  <c r="AI66" i="23"/>
  <c r="AY66" i="23"/>
  <c r="BB101" i="23"/>
  <c r="AT101" i="23"/>
  <c r="AL101" i="23"/>
  <c r="BA101" i="23"/>
  <c r="AS101" i="23"/>
  <c r="AK101" i="23"/>
  <c r="AZ101" i="23"/>
  <c r="AR101" i="23"/>
  <c r="AJ101" i="23"/>
  <c r="AY101" i="23"/>
  <c r="AQ101" i="23"/>
  <c r="AI101" i="23"/>
  <c r="AX101" i="23"/>
  <c r="AP101" i="23"/>
  <c r="AW101" i="23"/>
  <c r="AO101" i="23"/>
  <c r="BD101" i="23"/>
  <c r="AV101" i="23"/>
  <c r="AN101" i="23"/>
  <c r="AM101" i="23"/>
  <c r="BC101" i="23"/>
  <c r="AU101" i="23"/>
  <c r="AJ58" i="23"/>
  <c r="AR58" i="23"/>
  <c r="AZ58" i="23"/>
  <c r="AN59" i="23"/>
  <c r="AV59" i="23"/>
  <c r="BD59" i="23"/>
  <c r="AJ60" i="23"/>
  <c r="AR60" i="23"/>
  <c r="AZ60" i="23"/>
  <c r="AN61" i="23"/>
  <c r="AV61" i="23"/>
  <c r="BD61" i="23"/>
  <c r="AO63" i="23"/>
  <c r="AK66" i="23"/>
  <c r="BA66" i="23"/>
  <c r="BC70" i="23"/>
  <c r="AU70" i="23"/>
  <c r="BA70" i="23"/>
  <c r="AS70" i="23"/>
  <c r="AK70" i="23"/>
  <c r="AY70" i="23"/>
  <c r="AO70" i="23"/>
  <c r="AX70" i="23"/>
  <c r="AN70" i="23"/>
  <c r="AW70" i="23"/>
  <c r="AM70" i="23"/>
  <c r="AV70" i="23"/>
  <c r="AL70" i="23"/>
  <c r="AT70" i="23"/>
  <c r="AJ70" i="23"/>
  <c r="BB70" i="23"/>
  <c r="AQ70" i="23"/>
  <c r="BC78" i="23"/>
  <c r="AU78" i="23"/>
  <c r="AM78" i="23"/>
  <c r="AY78" i="23"/>
  <c r="AQ78" i="23"/>
  <c r="AI78" i="23"/>
  <c r="BA78" i="23"/>
  <c r="AP78" i="23"/>
  <c r="AZ78" i="23"/>
  <c r="AO78" i="23"/>
  <c r="AX78" i="23"/>
  <c r="AN78" i="23"/>
  <c r="AW78" i="23"/>
  <c r="AL78" i="23"/>
  <c r="AV78" i="23"/>
  <c r="AK78" i="23"/>
  <c r="R78" i="23"/>
  <c r="AT78" i="23"/>
  <c r="AJ78" i="23"/>
  <c r="BD78" i="23"/>
  <c r="P78" i="23"/>
  <c r="AS78" i="23"/>
  <c r="AW86" i="23"/>
  <c r="AO86" i="23"/>
  <c r="BC86" i="23"/>
  <c r="AU86" i="23"/>
  <c r="AM86" i="23"/>
  <c r="BB86" i="23"/>
  <c r="AT86" i="23"/>
  <c r="AL86" i="23"/>
  <c r="AZ86" i="23"/>
  <c r="AR86" i="23"/>
  <c r="AJ86" i="23"/>
  <c r="AY86" i="23"/>
  <c r="AQ86" i="23"/>
  <c r="AI86" i="23"/>
  <c r="AK86" i="23"/>
  <c r="BD86" i="23"/>
  <c r="BA86" i="23"/>
  <c r="AX86" i="23"/>
  <c r="AV86" i="23"/>
  <c r="AS86" i="23"/>
  <c r="AP86" i="23"/>
  <c r="AN86" i="23"/>
  <c r="AW94" i="23"/>
  <c r="AO94" i="23"/>
  <c r="BD94" i="23"/>
  <c r="AV94" i="23"/>
  <c r="AN94" i="23"/>
  <c r="BC94" i="23"/>
  <c r="AU94" i="23"/>
  <c r="AM94" i="23"/>
  <c r="BB94" i="23"/>
  <c r="AT94" i="23"/>
  <c r="AL94" i="23"/>
  <c r="AZ94" i="23"/>
  <c r="AR94" i="23"/>
  <c r="AJ94" i="23"/>
  <c r="AY94" i="23"/>
  <c r="AQ94" i="23"/>
  <c r="AI94" i="23"/>
  <c r="AP94" i="23"/>
  <c r="AK94" i="23"/>
  <c r="BA94" i="23"/>
  <c r="AX94" i="23"/>
  <c r="AS94" i="23"/>
  <c r="AX102" i="23"/>
  <c r="AP102" i="23"/>
  <c r="AW102" i="23"/>
  <c r="AO102" i="23"/>
  <c r="BD102" i="23"/>
  <c r="AV102" i="23"/>
  <c r="AN102" i="23"/>
  <c r="BC102" i="23"/>
  <c r="AU102" i="23"/>
  <c r="AM102" i="23"/>
  <c r="BB102" i="23"/>
  <c r="AT102" i="23"/>
  <c r="AL102" i="23"/>
  <c r="BA102" i="23"/>
  <c r="AS102" i="23"/>
  <c r="AK102" i="23"/>
  <c r="AZ102" i="23"/>
  <c r="AR102" i="23"/>
  <c r="AJ102" i="23"/>
  <c r="AY102" i="23"/>
  <c r="AQ102" i="23"/>
  <c r="AI102" i="23"/>
  <c r="AK58" i="23"/>
  <c r="AS58" i="23"/>
  <c r="BA58" i="23"/>
  <c r="AO59" i="23"/>
  <c r="AW59" i="23"/>
  <c r="AK60" i="23"/>
  <c r="AS60" i="23"/>
  <c r="BA60" i="23"/>
  <c r="AO61" i="23"/>
  <c r="AW61" i="23"/>
  <c r="AM66" i="23"/>
  <c r="BC66" i="23"/>
  <c r="AI70" i="23"/>
  <c r="AZ63" i="23"/>
  <c r="AR63" i="23"/>
  <c r="AJ63" i="23"/>
  <c r="AX63" i="23"/>
  <c r="AP63" i="23"/>
  <c r="BD63" i="23"/>
  <c r="AV63" i="23"/>
  <c r="AN63" i="23"/>
  <c r="BB63" i="23"/>
  <c r="AT63" i="23"/>
  <c r="AL63" i="23"/>
  <c r="AY71" i="23"/>
  <c r="AQ71" i="23"/>
  <c r="AI71" i="23"/>
  <c r="AW71" i="23"/>
  <c r="AO71" i="23"/>
  <c r="AX71" i="23"/>
  <c r="AM71" i="23"/>
  <c r="AV71" i="23"/>
  <c r="AL71" i="23"/>
  <c r="AU71" i="23"/>
  <c r="AK71" i="23"/>
  <c r="BD71" i="23"/>
  <c r="AT71" i="23"/>
  <c r="AJ71" i="23"/>
  <c r="BC71" i="23"/>
  <c r="AS71" i="23"/>
  <c r="BA71" i="23"/>
  <c r="AP71" i="23"/>
  <c r="AL58" i="23"/>
  <c r="AT58" i="23"/>
  <c r="BB58" i="23"/>
  <c r="AP59" i="23"/>
  <c r="AX59" i="23"/>
  <c r="AL60" i="23"/>
  <c r="AT60" i="23"/>
  <c r="BB60" i="23"/>
  <c r="AP61" i="23"/>
  <c r="AX61" i="23"/>
  <c r="AS63" i="23"/>
  <c r="AO66" i="23"/>
  <c r="AP70" i="23"/>
  <c r="AN71" i="23"/>
  <c r="AJ74" i="23"/>
  <c r="AR78" i="23"/>
  <c r="BD90" i="23"/>
  <c r="AW88" i="23"/>
  <c r="AO88" i="23"/>
  <c r="BC88" i="23"/>
  <c r="AU88" i="23"/>
  <c r="AM88" i="23"/>
  <c r="BB88" i="23"/>
  <c r="AT88" i="23"/>
  <c r="AL88" i="23"/>
  <c r="AZ88" i="23"/>
  <c r="AR88" i="23"/>
  <c r="AJ88" i="23"/>
  <c r="AY88" i="23"/>
  <c r="AQ88" i="23"/>
  <c r="AI88" i="23"/>
  <c r="BD88" i="23"/>
  <c r="BA88" i="23"/>
  <c r="AX88" i="23"/>
  <c r="AV88" i="23"/>
  <c r="AS88" i="23"/>
  <c r="AP88" i="23"/>
  <c r="AN88" i="23"/>
  <c r="AK88" i="23"/>
  <c r="AX96" i="23"/>
  <c r="AP96" i="23"/>
  <c r="AW96" i="23"/>
  <c r="AO96" i="23"/>
  <c r="BD96" i="23"/>
  <c r="AV96" i="23"/>
  <c r="AN96" i="23"/>
  <c r="BC96" i="23"/>
  <c r="AU96" i="23"/>
  <c r="AM96" i="23"/>
  <c r="BB96" i="23"/>
  <c r="AT96" i="23"/>
  <c r="AL96" i="23"/>
  <c r="BA96" i="23"/>
  <c r="AS96" i="23"/>
  <c r="AK96" i="23"/>
  <c r="AZ96" i="23"/>
  <c r="AR96" i="23"/>
  <c r="AJ96" i="23"/>
  <c r="AY96" i="23"/>
  <c r="AQ96" i="23"/>
  <c r="AM58" i="23"/>
  <c r="AU58" i="23"/>
  <c r="AI59" i="23"/>
  <c r="AQ59" i="23"/>
  <c r="AM60" i="23"/>
  <c r="AU60" i="23"/>
  <c r="AI61" i="23"/>
  <c r="AQ61" i="23"/>
  <c r="AU63" i="23"/>
  <c r="AQ66" i="23"/>
  <c r="AR70" i="23"/>
  <c r="AR71" i="23"/>
  <c r="AN74" i="23"/>
  <c r="BB78" i="23"/>
  <c r="AR83" i="23"/>
  <c r="AE62" i="24"/>
  <c r="AD62" i="24"/>
  <c r="AC62" i="24"/>
  <c r="AB62" i="24"/>
  <c r="AA62" i="24"/>
  <c r="AG62" i="24"/>
  <c r="Y62" i="24"/>
  <c r="AC70" i="24"/>
  <c r="AA70" i="24"/>
  <c r="Z70" i="24"/>
  <c r="AH70" i="24"/>
  <c r="Y70" i="24"/>
  <c r="AG70" i="24"/>
  <c r="X70" i="24"/>
  <c r="AF70" i="24"/>
  <c r="AD70" i="24"/>
  <c r="AC78" i="24"/>
  <c r="AB78" i="24"/>
  <c r="AA78" i="24"/>
  <c r="AG78" i="24"/>
  <c r="Y78" i="24"/>
  <c r="AE78" i="24"/>
  <c r="AD78" i="24"/>
  <c r="Z78" i="24"/>
  <c r="X78" i="24"/>
  <c r="AH78" i="24"/>
  <c r="AB49" i="24"/>
  <c r="AA52" i="24"/>
  <c r="X57" i="24"/>
  <c r="AH58" i="24"/>
  <c r="AH62" i="24"/>
  <c r="AD68" i="24"/>
  <c r="AC49" i="24"/>
  <c r="AB52" i="24"/>
  <c r="Z57" i="24"/>
  <c r="AB70" i="24"/>
  <c r="AA64" i="24"/>
  <c r="AH64" i="24"/>
  <c r="Z64" i="24"/>
  <c r="AG64" i="24"/>
  <c r="Y64" i="24"/>
  <c r="AF64" i="24"/>
  <c r="X64" i="24"/>
  <c r="AE64" i="24"/>
  <c r="AC64" i="24"/>
  <c r="AG72" i="24"/>
  <c r="Y72" i="24"/>
  <c r="AF72" i="24"/>
  <c r="X72" i="24"/>
  <c r="AC72" i="24"/>
  <c r="AE72" i="24"/>
  <c r="AD72" i="24"/>
  <c r="AB72" i="24"/>
  <c r="AA72" i="24"/>
  <c r="Z72" i="24"/>
  <c r="AG80" i="24"/>
  <c r="Y80" i="24"/>
  <c r="AF80" i="24"/>
  <c r="X80" i="24"/>
  <c r="AE80" i="24"/>
  <c r="AD80" i="24"/>
  <c r="AC80" i="24"/>
  <c r="AH80" i="24"/>
  <c r="AB80" i="24"/>
  <c r="AA80" i="24"/>
  <c r="Z80" i="24"/>
  <c r="AD49" i="24"/>
  <c r="AD52" i="24"/>
  <c r="AD64" i="24"/>
  <c r="AE70" i="24"/>
  <c r="AB57" i="24"/>
  <c r="AA57" i="24"/>
  <c r="AG57" i="24"/>
  <c r="Y57" i="24"/>
  <c r="AE57" i="24"/>
  <c r="AC65" i="24"/>
  <c r="AB65" i="24"/>
  <c r="AA65" i="24"/>
  <c r="AH65" i="24"/>
  <c r="Z65" i="24"/>
  <c r="AG65" i="24"/>
  <c r="Y65" i="24"/>
  <c r="AE65" i="24"/>
  <c r="AA73" i="24"/>
  <c r="AH73" i="24"/>
  <c r="Z73" i="24"/>
  <c r="AE73" i="24"/>
  <c r="AG73" i="24"/>
  <c r="AF73" i="24"/>
  <c r="AD73" i="24"/>
  <c r="AC73" i="24"/>
  <c r="Y73" i="24"/>
  <c r="AA81" i="24"/>
  <c r="AH81" i="24"/>
  <c r="Z81" i="24"/>
  <c r="AG81" i="24"/>
  <c r="Y81" i="24"/>
  <c r="AF81" i="24"/>
  <c r="X81" i="24"/>
  <c r="AE81" i="24"/>
  <c r="AD81" i="24"/>
  <c r="AC81" i="24"/>
  <c r="AB81" i="24"/>
  <c r="AE49" i="24"/>
  <c r="AF52" i="24"/>
  <c r="AD57" i="24"/>
  <c r="AB60" i="24"/>
  <c r="AH72" i="24"/>
  <c r="AD58" i="24"/>
  <c r="AC58" i="24"/>
  <c r="AA58" i="24"/>
  <c r="AG58" i="24"/>
  <c r="Y58" i="24"/>
  <c r="X49" i="24"/>
  <c r="AF49" i="24"/>
  <c r="AH52" i="24"/>
  <c r="AF57" i="24"/>
  <c r="Z58" i="24"/>
  <c r="Y49" i="24"/>
  <c r="AG49" i="24"/>
  <c r="AH57" i="24"/>
  <c r="AB58" i="24"/>
  <c r="X62" i="24"/>
  <c r="X73" i="24"/>
  <c r="AG52" i="24"/>
  <c r="Y52" i="24"/>
  <c r="AE52" i="24"/>
  <c r="AC52" i="24"/>
  <c r="AA60" i="24"/>
  <c r="AH60" i="24"/>
  <c r="Z60" i="24"/>
  <c r="AG60" i="24"/>
  <c r="Y60" i="24"/>
  <c r="AF60" i="24"/>
  <c r="X60" i="24"/>
  <c r="AE60" i="24"/>
  <c r="AC60" i="24"/>
  <c r="AA68" i="24"/>
  <c r="AH68" i="24"/>
  <c r="Z68" i="24"/>
  <c r="AG68" i="24"/>
  <c r="Y68" i="24"/>
  <c r="AF68" i="24"/>
  <c r="X68" i="24"/>
  <c r="AE68" i="24"/>
  <c r="AC68" i="24"/>
  <c r="AG76" i="24"/>
  <c r="Y76" i="24"/>
  <c r="AF76" i="24"/>
  <c r="X76" i="24"/>
  <c r="AE76" i="24"/>
  <c r="AC76" i="24"/>
  <c r="AA76" i="24"/>
  <c r="Z76" i="24"/>
  <c r="AH76" i="24"/>
  <c r="AD76" i="24"/>
  <c r="Z49" i="24"/>
  <c r="X52" i="24"/>
  <c r="AE58" i="24"/>
  <c r="Z62" i="24"/>
  <c r="X65" i="24"/>
  <c r="AB73" i="24"/>
  <c r="AF78" i="24"/>
  <c r="Z8" i="21"/>
  <c r="AH8" i="21" s="1"/>
  <c r="Z3" i="21"/>
  <c r="AH3" i="21" s="1"/>
  <c r="AJ3" i="21"/>
  <c r="Z6" i="21"/>
  <c r="AH6" i="21" s="1"/>
  <c r="AJ5" i="21"/>
  <c r="AJ13" i="21"/>
  <c r="AJ4" i="21"/>
  <c r="Z4" i="21"/>
  <c r="AH4" i="21" s="1"/>
  <c r="Z5" i="21"/>
  <c r="AH5" i="21" s="1"/>
  <c r="Z13" i="21"/>
  <c r="AH13" i="21" s="1"/>
  <c r="R9" i="21"/>
  <c r="M62" i="21"/>
  <c r="U9" i="21" s="1"/>
  <c r="AI9" i="21" s="1"/>
  <c r="R11" i="21"/>
  <c r="M166" i="21"/>
  <c r="U11" i="21" s="1"/>
  <c r="AI11" i="21" s="1"/>
  <c r="X5" i="21"/>
  <c r="AF5" i="21" s="1"/>
  <c r="R10" i="21"/>
  <c r="U10" i="21"/>
  <c r="AI10" i="21" s="1"/>
  <c r="M214" i="21"/>
  <c r="U12" i="21" s="1"/>
  <c r="AI12" i="21" s="1"/>
  <c r="X3" i="21"/>
  <c r="AF3" i="21" s="1"/>
  <c r="AG8" i="21"/>
  <c r="X13" i="21"/>
  <c r="AF13" i="21" s="1"/>
  <c r="Y4" i="21"/>
  <c r="AG4" i="21" s="1"/>
  <c r="AJ5" i="16"/>
  <c r="AJ8" i="16" s="1"/>
  <c r="AO8" i="16"/>
  <c r="AO9" i="16"/>
  <c r="AC45" i="17"/>
  <c r="AC41" i="17"/>
  <c r="AC33" i="17"/>
  <c r="AT7" i="16"/>
  <c r="AC37" i="17"/>
  <c r="AT8" i="16"/>
  <c r="AC5" i="17"/>
  <c r="AC13" i="17"/>
  <c r="AC25" i="17"/>
  <c r="AC9" i="17"/>
  <c r="AC17" i="17"/>
  <c r="AC21" i="17"/>
  <c r="AD54" i="8"/>
  <c r="AD54" i="9"/>
  <c r="AD54" i="7"/>
  <c r="W46" i="13"/>
  <c r="W46" i="12"/>
  <c r="W46" i="11"/>
  <c r="W46" i="10"/>
  <c r="AJ54" i="9"/>
  <c r="AJ54" i="8"/>
  <c r="AJ58" i="8" s="1"/>
  <c r="AJ54" i="7"/>
  <c r="AG54" i="8"/>
  <c r="AG54" i="9"/>
  <c r="AG54" i="7"/>
  <c r="AL56" i="9"/>
  <c r="AL56" i="8"/>
  <c r="AL56" i="7"/>
  <c r="AL58" i="6"/>
  <c r="W54" i="8"/>
  <c r="W58" i="8" s="1"/>
  <c r="W54" i="9"/>
  <c r="W54" i="7"/>
  <c r="Z44" i="13"/>
  <c r="Z44" i="12"/>
  <c r="Z48" i="12" s="1"/>
  <c r="Z44" i="11"/>
  <c r="Z48" i="11" s="1"/>
  <c r="Z44" i="10"/>
  <c r="D18" i="5"/>
  <c r="AB56" i="6" s="1"/>
  <c r="R44" i="13"/>
  <c r="R44" i="12"/>
  <c r="R44" i="11"/>
  <c r="R44" i="10"/>
  <c r="AJ56" i="9"/>
  <c r="AJ56" i="8"/>
  <c r="Q54" i="8"/>
  <c r="Q58" i="8" s="1"/>
  <c r="Q54" i="9"/>
  <c r="Q54" i="7"/>
  <c r="AI55" i="7"/>
  <c r="U54" i="8"/>
  <c r="U58" i="8" s="1"/>
  <c r="U54" i="9"/>
  <c r="U54" i="7"/>
  <c r="X54" i="9"/>
  <c r="X54" i="8"/>
  <c r="X58" i="8" s="1"/>
  <c r="X54" i="7"/>
  <c r="Z54" i="8"/>
  <c r="Z58" i="8" s="1"/>
  <c r="Z54" i="9"/>
  <c r="Z54" i="7"/>
  <c r="AB55" i="7"/>
  <c r="AH56" i="9"/>
  <c r="AH56" i="8"/>
  <c r="O54" i="8"/>
  <c r="O58" i="8" s="1"/>
  <c r="O54" i="9"/>
  <c r="O54" i="7"/>
  <c r="AH54" i="8"/>
  <c r="AH54" i="9"/>
  <c r="AH54" i="7"/>
  <c r="AA54" i="8"/>
  <c r="AA58" i="8" s="1"/>
  <c r="AA54" i="9"/>
  <c r="AA54" i="7"/>
  <c r="AD55" i="9"/>
  <c r="AD55" i="8"/>
  <c r="V56" i="9"/>
  <c r="V56" i="8"/>
  <c r="D28" i="5"/>
  <c r="AL56" i="6" s="1"/>
  <c r="F45" i="5"/>
  <c r="Z46" i="13"/>
  <c r="Z46" i="12"/>
  <c r="Z46" i="10"/>
  <c r="Z46" i="11"/>
  <c r="R54" i="8"/>
  <c r="R58" i="8" s="1"/>
  <c r="R54" i="9"/>
  <c r="R54" i="7"/>
  <c r="AE54" i="8"/>
  <c r="AE54" i="9"/>
  <c r="AE54" i="7"/>
  <c r="AK54" i="8"/>
  <c r="AK58" i="8" s="1"/>
  <c r="AK54" i="9"/>
  <c r="AD55" i="7"/>
  <c r="AH56" i="7"/>
  <c r="AK54" i="7"/>
  <c r="AI55" i="8"/>
  <c r="W45" i="13"/>
  <c r="W45" i="12"/>
  <c r="W45" i="11"/>
  <c r="W45" i="10"/>
  <c r="L54" i="9"/>
  <c r="L54" i="8"/>
  <c r="L58" i="8" s="1"/>
  <c r="AH58" i="6"/>
  <c r="AH55" i="9"/>
  <c r="AH55" i="8"/>
  <c r="F18" i="5"/>
  <c r="Z56" i="9"/>
  <c r="Z56" i="8"/>
  <c r="P54" i="9"/>
  <c r="P54" i="8"/>
  <c r="P58" i="8" s="1"/>
  <c r="P54" i="7"/>
  <c r="V58" i="6"/>
  <c r="AC54" i="8"/>
  <c r="AC58" i="8" s="1"/>
  <c r="AC54" i="9"/>
  <c r="AC54" i="7"/>
  <c r="AF54" i="9"/>
  <c r="AF54" i="8"/>
  <c r="AF54" i="7"/>
  <c r="AI56" i="6"/>
  <c r="AJ56" i="7"/>
  <c r="AB55" i="9"/>
  <c r="AB55" i="8"/>
  <c r="U56" i="9"/>
  <c r="U56" i="8"/>
  <c r="AD56" i="9"/>
  <c r="AD56" i="8"/>
  <c r="Y44" i="13"/>
  <c r="Y44" i="12"/>
  <c r="Y44" i="10"/>
  <c r="Y44" i="11"/>
  <c r="Y46" i="13"/>
  <c r="Y46" i="12"/>
  <c r="Y46" i="11"/>
  <c r="Y46" i="10"/>
  <c r="AA56" i="9"/>
  <c r="AA56" i="8"/>
  <c r="AI56" i="9"/>
  <c r="AI56" i="8"/>
  <c r="AG56" i="9"/>
  <c r="AG56" i="8"/>
  <c r="D45" i="5"/>
  <c r="U46" i="12"/>
  <c r="U46" i="13"/>
  <c r="U46" i="10"/>
  <c r="U46" i="11"/>
  <c r="S54" i="8"/>
  <c r="S54" i="9"/>
  <c r="S54" i="7"/>
  <c r="AI57" i="6"/>
  <c r="U56" i="7"/>
  <c r="W44" i="12"/>
  <c r="W44" i="13"/>
  <c r="W44" i="11"/>
  <c r="W44" i="10"/>
  <c r="Z45" i="13"/>
  <c r="Z45" i="12"/>
  <c r="Z45" i="11"/>
  <c r="Z45" i="10"/>
  <c r="E28" i="5"/>
  <c r="E45" i="5"/>
  <c r="AJ55" i="9"/>
  <c r="AJ55" i="8"/>
  <c r="M54" i="8"/>
  <c r="M58" i="8" s="1"/>
  <c r="M54" i="9"/>
  <c r="M54" i="7"/>
  <c r="Z58" i="6"/>
  <c r="AI58" i="6"/>
  <c r="AH55" i="7"/>
  <c r="V56" i="7"/>
  <c r="AD56" i="7"/>
  <c r="AA51" i="9"/>
  <c r="AA44" i="9"/>
  <c r="AA49" i="9"/>
  <c r="AA45" i="9"/>
  <c r="AA46" i="9"/>
  <c r="AA34" i="9"/>
  <c r="AA25" i="9"/>
  <c r="AA21" i="9"/>
  <c r="AA17" i="9"/>
  <c r="AA37" i="9"/>
  <c r="AA26" i="9"/>
  <c r="AA38" i="9"/>
  <c r="AA30" i="9"/>
  <c r="AA39" i="9"/>
  <c r="AA31" i="9"/>
  <c r="AA23" i="9"/>
  <c r="AA40" i="9"/>
  <c r="AA41" i="9"/>
  <c r="AA33" i="9"/>
  <c r="AA28" i="9"/>
  <c r="AA24" i="9"/>
  <c r="AA11" i="9"/>
  <c r="AA7" i="9"/>
  <c r="AA12" i="9"/>
  <c r="AA8" i="9"/>
  <c r="AA15" i="9"/>
  <c r="AA13" i="9"/>
  <c r="AA10" i="9"/>
  <c r="AA6" i="9"/>
  <c r="Z51" i="9"/>
  <c r="Z47" i="9"/>
  <c r="Z43" i="9"/>
  <c r="Z39" i="9"/>
  <c r="Z35" i="9"/>
  <c r="Z31" i="9"/>
  <c r="Z48" i="9"/>
  <c r="Z44" i="9"/>
  <c r="Z40" i="9"/>
  <c r="Z36" i="9"/>
  <c r="Z32" i="9"/>
  <c r="Z49" i="9"/>
  <c r="Z45" i="9"/>
  <c r="Z41" i="9"/>
  <c r="Z37" i="9"/>
  <c r="Z33" i="9"/>
  <c r="Z50" i="9"/>
  <c r="Z46" i="9"/>
  <c r="Z42" i="9"/>
  <c r="Z38" i="9"/>
  <c r="Z34" i="9"/>
  <c r="Z30" i="9"/>
  <c r="Z28" i="9"/>
  <c r="Z24" i="9"/>
  <c r="Z20" i="9"/>
  <c r="Z16" i="9"/>
  <c r="Z29" i="9"/>
  <c r="Z25" i="9"/>
  <c r="Z21" i="9"/>
  <c r="Z17" i="9"/>
  <c r="Z26" i="9"/>
  <c r="Z22" i="9"/>
  <c r="Z18" i="9"/>
  <c r="Z27" i="9"/>
  <c r="Z23" i="9"/>
  <c r="Z19" i="9"/>
  <c r="Z15" i="9"/>
  <c r="Z11" i="9"/>
  <c r="Z7" i="9"/>
  <c r="Z14" i="9"/>
  <c r="Z12" i="9"/>
  <c r="Z8" i="9"/>
  <c r="Z13" i="9"/>
  <c r="Z9" i="9"/>
  <c r="Z5" i="9"/>
  <c r="Z10" i="9"/>
  <c r="Z6" i="9"/>
  <c r="D37" i="5"/>
  <c r="AI8" i="17" l="1"/>
  <c r="AA47" i="9"/>
  <c r="AA42" i="9"/>
  <c r="AA18" i="9"/>
  <c r="AA32" i="9"/>
  <c r="AA14" i="9"/>
  <c r="AA43" i="9"/>
  <c r="AA29" i="9"/>
  <c r="AA50" i="9"/>
  <c r="AA36" i="9"/>
  <c r="AA27" i="9"/>
  <c r="AA20" i="9"/>
  <c r="AA5" i="9"/>
  <c r="X9" i="21"/>
  <c r="AF9" i="21" s="1"/>
  <c r="X11" i="21"/>
  <c r="AF11" i="21" s="1"/>
  <c r="I20" i="23"/>
  <c r="I20" i="14"/>
  <c r="I20" i="6"/>
  <c r="I20" i="9"/>
  <c r="I20" i="7"/>
  <c r="I20" i="8"/>
  <c r="I41" i="23"/>
  <c r="I41" i="14"/>
  <c r="I41" i="8"/>
  <c r="I41" i="7"/>
  <c r="I41" i="6"/>
  <c r="I41" i="9"/>
  <c r="I37" i="23"/>
  <c r="I37" i="14"/>
  <c r="I37" i="6"/>
  <c r="I37" i="9"/>
  <c r="I37" i="7"/>
  <c r="I37" i="8"/>
  <c r="I9" i="24"/>
  <c r="I9" i="12"/>
  <c r="I9" i="11"/>
  <c r="I9" i="10"/>
  <c r="I9" i="13"/>
  <c r="I24" i="23"/>
  <c r="I24" i="9"/>
  <c r="I24" i="14"/>
  <c r="I24" i="8"/>
  <c r="I24" i="7"/>
  <c r="I24" i="6"/>
  <c r="I37" i="24"/>
  <c r="I37" i="13"/>
  <c r="I37" i="12"/>
  <c r="I37" i="11"/>
  <c r="I37" i="10"/>
  <c r="I23" i="23"/>
  <c r="I23" i="6"/>
  <c r="I23" i="9"/>
  <c r="I23" i="8"/>
  <c r="I23" i="14"/>
  <c r="I23" i="7"/>
  <c r="I35" i="23"/>
  <c r="I35" i="8"/>
  <c r="I35" i="7"/>
  <c r="I35" i="14"/>
  <c r="I35" i="6"/>
  <c r="I35" i="9"/>
  <c r="I29" i="23"/>
  <c r="I29" i="14"/>
  <c r="I29" i="6"/>
  <c r="I29" i="9"/>
  <c r="I29" i="7"/>
  <c r="I29" i="8"/>
  <c r="I28" i="23"/>
  <c r="I28" i="14"/>
  <c r="I28" i="6"/>
  <c r="I28" i="9"/>
  <c r="I28" i="7"/>
  <c r="I28" i="8"/>
  <c r="AY59" i="23"/>
  <c r="AZ59" i="23"/>
  <c r="AR59" i="23"/>
  <c r="AJ59" i="23"/>
  <c r="AF65" i="24"/>
  <c r="AD65" i="24"/>
  <c r="I29" i="24"/>
  <c r="I29" i="13"/>
  <c r="I29" i="12"/>
  <c r="I29" i="11"/>
  <c r="I29" i="10"/>
  <c r="I12" i="23"/>
  <c r="I12" i="14"/>
  <c r="I12" i="6"/>
  <c r="I12" i="9"/>
  <c r="I12" i="7"/>
  <c r="M63" i="6" s="1"/>
  <c r="I12" i="8"/>
  <c r="I33" i="23"/>
  <c r="I33" i="14"/>
  <c r="I33" i="8"/>
  <c r="I33" i="7"/>
  <c r="M67" i="6" s="1"/>
  <c r="M64" i="6" s="1"/>
  <c r="M70" i="6" s="1"/>
  <c r="I33" i="6"/>
  <c r="I33" i="9"/>
  <c r="AQ63" i="23"/>
  <c r="AW63" i="23"/>
  <c r="I27" i="23"/>
  <c r="I27" i="8"/>
  <c r="I27" i="7"/>
  <c r="I27" i="14"/>
  <c r="I27" i="6"/>
  <c r="I27" i="9"/>
  <c r="I41" i="24"/>
  <c r="I41" i="12"/>
  <c r="I41" i="11"/>
  <c r="I41" i="10"/>
  <c r="I41" i="13"/>
  <c r="I8" i="24"/>
  <c r="I8" i="12"/>
  <c r="I8" i="11"/>
  <c r="I8" i="10"/>
  <c r="I8" i="13"/>
  <c r="P13" i="5"/>
  <c r="P16" i="5" s="1"/>
  <c r="I10" i="23"/>
  <c r="I10" i="8"/>
  <c r="I10" i="14"/>
  <c r="I10" i="6"/>
  <c r="I10" i="9"/>
  <c r="I10" i="7"/>
  <c r="I17" i="23"/>
  <c r="I17" i="8"/>
  <c r="I17" i="14"/>
  <c r="I17" i="6"/>
  <c r="I17" i="7"/>
  <c r="M66" i="6" s="1"/>
  <c r="I17" i="9"/>
  <c r="I25" i="23"/>
  <c r="I25" i="8"/>
  <c r="I25" i="7"/>
  <c r="I25" i="6"/>
  <c r="I25" i="9"/>
  <c r="I25" i="14"/>
  <c r="I24" i="24"/>
  <c r="I24" i="12"/>
  <c r="I24" i="11"/>
  <c r="I24" i="10"/>
  <c r="I24" i="13"/>
  <c r="I14" i="24"/>
  <c r="I14" i="13"/>
  <c r="I14" i="12"/>
  <c r="I14" i="11"/>
  <c r="I14" i="10"/>
  <c r="AH49" i="24"/>
  <c r="AA49" i="24"/>
  <c r="I33" i="24"/>
  <c r="I33" i="12"/>
  <c r="I33" i="11"/>
  <c r="I33" i="10"/>
  <c r="I33" i="13"/>
  <c r="I21" i="24"/>
  <c r="I21" i="13"/>
  <c r="I21" i="12"/>
  <c r="I21" i="11"/>
  <c r="I21" i="10"/>
  <c r="I15" i="23"/>
  <c r="I15" i="9"/>
  <c r="I15" i="7"/>
  <c r="I15" i="8"/>
  <c r="I15" i="14"/>
  <c r="I15" i="6"/>
  <c r="I40" i="24"/>
  <c r="I40" i="12"/>
  <c r="I40" i="11"/>
  <c r="I40" i="10"/>
  <c r="I40" i="13"/>
  <c r="I32" i="24"/>
  <c r="I32" i="12"/>
  <c r="I32" i="11"/>
  <c r="I32" i="10"/>
  <c r="I32" i="13"/>
  <c r="I12" i="24"/>
  <c r="I12" i="13"/>
  <c r="I12" i="12"/>
  <c r="I12" i="11"/>
  <c r="I12" i="10"/>
  <c r="BC60" i="23"/>
  <c r="BD60" i="23"/>
  <c r="AV60" i="23"/>
  <c r="AN60" i="23"/>
  <c r="I6" i="24"/>
  <c r="I6" i="13"/>
  <c r="I6" i="12"/>
  <c r="I6" i="11"/>
  <c r="I6" i="10"/>
  <c r="I25" i="24"/>
  <c r="I25" i="12"/>
  <c r="I25" i="11"/>
  <c r="I25" i="10"/>
  <c r="I25" i="13"/>
  <c r="I13" i="24"/>
  <c r="I13" i="13"/>
  <c r="I13" i="12"/>
  <c r="I13" i="11"/>
  <c r="I13" i="10"/>
  <c r="P14" i="5"/>
  <c r="P17" i="5" s="1"/>
  <c r="I5" i="24"/>
  <c r="I5" i="13"/>
  <c r="I5" i="12"/>
  <c r="I5" i="11"/>
  <c r="I5" i="10"/>
  <c r="I51" i="23"/>
  <c r="I51" i="8"/>
  <c r="I51" i="7"/>
  <c r="M69" i="6" s="1"/>
  <c r="I51" i="14"/>
  <c r="I51" i="6"/>
  <c r="I51" i="9"/>
  <c r="I45" i="23"/>
  <c r="I45" i="14"/>
  <c r="I45" i="6"/>
  <c r="I45" i="9"/>
  <c r="I45" i="7"/>
  <c r="M68" i="6" s="1"/>
  <c r="I45" i="8"/>
  <c r="X58" i="24"/>
  <c r="AF58" i="24"/>
  <c r="BC58" i="23"/>
  <c r="AN58" i="23"/>
  <c r="BD58" i="23"/>
  <c r="AV58" i="23"/>
  <c r="Z47" i="10"/>
  <c r="Z47" i="12" s="1"/>
  <c r="I16" i="23"/>
  <c r="I16" i="9"/>
  <c r="I16" i="7"/>
  <c r="I16" i="8"/>
  <c r="I16" i="14"/>
  <c r="I16" i="6"/>
  <c r="I43" i="23"/>
  <c r="I43" i="8"/>
  <c r="I43" i="7"/>
  <c r="I43" i="14"/>
  <c r="I43" i="6"/>
  <c r="I43" i="9"/>
  <c r="I17" i="24"/>
  <c r="I17" i="12"/>
  <c r="I17" i="11"/>
  <c r="I17" i="10"/>
  <c r="I17" i="13"/>
  <c r="AY61" i="23"/>
  <c r="AZ61" i="23"/>
  <c r="AR61" i="23"/>
  <c r="AJ61" i="23"/>
  <c r="AH58" i="8"/>
  <c r="D4" i="5"/>
  <c r="F30" i="5" s="1"/>
  <c r="X10" i="21"/>
  <c r="AF10" i="21" s="1"/>
  <c r="X12" i="21"/>
  <c r="AF12" i="21" s="1"/>
  <c r="AJ9" i="16"/>
  <c r="AT9" i="16"/>
  <c r="L44" i="13"/>
  <c r="L44" i="12"/>
  <c r="L48" i="12" s="1"/>
  <c r="L44" i="10"/>
  <c r="L47" i="10" s="1"/>
  <c r="L44" i="11"/>
  <c r="L48" i="11" s="1"/>
  <c r="F37" i="5"/>
  <c r="R46" i="13"/>
  <c r="R46" i="12"/>
  <c r="R46" i="10"/>
  <c r="R46" i="11"/>
  <c r="S44" i="13"/>
  <c r="S44" i="12"/>
  <c r="S44" i="11"/>
  <c r="S44" i="10"/>
  <c r="E37" i="5"/>
  <c r="R45" i="13"/>
  <c r="R45" i="12"/>
  <c r="R45" i="11"/>
  <c r="R45" i="10"/>
  <c r="AA46" i="12"/>
  <c r="AA46" i="13"/>
  <c r="AA46" i="10"/>
  <c r="AA46" i="11"/>
  <c r="AA48" i="9"/>
  <c r="AA35" i="9"/>
  <c r="AA22" i="9"/>
  <c r="AA19" i="9"/>
  <c r="AA16" i="9"/>
  <c r="AA9" i="9"/>
  <c r="AA44" i="13"/>
  <c r="AA44" i="12"/>
  <c r="AA44" i="11"/>
  <c r="AA44" i="10"/>
  <c r="AL54" i="8"/>
  <c r="AL54" i="9"/>
  <c r="AL54" i="7"/>
  <c r="R48" i="11"/>
  <c r="R47" i="11" s="1"/>
  <c r="R48" i="12"/>
  <c r="R47" i="12" s="1"/>
  <c r="AB56" i="9"/>
  <c r="AB56" i="8"/>
  <c r="AB56" i="7"/>
  <c r="AB58" i="6"/>
  <c r="AB54" i="9"/>
  <c r="AB54" i="8"/>
  <c r="AB54" i="7"/>
  <c r="AI54" i="8"/>
  <c r="AI58" i="8" s="1"/>
  <c r="AI54" i="9"/>
  <c r="AI54" i="7"/>
  <c r="AA45" i="13"/>
  <c r="AA45" i="12"/>
  <c r="AA45" i="10"/>
  <c r="AA45" i="11"/>
  <c r="AL55" i="9"/>
  <c r="AL55" i="8"/>
  <c r="AL57" i="6"/>
  <c r="AL55" i="7"/>
  <c r="Z53" i="9"/>
  <c r="D35" i="5"/>
  <c r="N56" i="6"/>
  <c r="Z47" i="11" l="1"/>
  <c r="AD47" i="24"/>
  <c r="AE47" i="24"/>
  <c r="AB47" i="24"/>
  <c r="AA47" i="24"/>
  <c r="X47" i="24"/>
  <c r="AF47" i="24"/>
  <c r="Z47" i="24"/>
  <c r="AC47" i="24"/>
  <c r="Y47" i="24"/>
  <c r="AH47" i="24"/>
  <c r="AG47" i="24"/>
  <c r="AF48" i="24"/>
  <c r="AG48" i="24"/>
  <c r="Y48" i="24"/>
  <c r="AD48" i="24"/>
  <c r="AC48" i="24"/>
  <c r="Z48" i="24"/>
  <c r="AH48" i="24"/>
  <c r="AE48" i="24"/>
  <c r="I10" i="26" s="1"/>
  <c r="X48" i="24"/>
  <c r="AB48" i="24"/>
  <c r="AA48" i="24"/>
  <c r="AS95" i="23"/>
  <c r="AX95" i="23"/>
  <c r="AM95" i="23"/>
  <c r="AK95" i="23"/>
  <c r="AP95" i="23"/>
  <c r="BC95" i="23"/>
  <c r="AZ95" i="23"/>
  <c r="AW95" i="23"/>
  <c r="AR95" i="23"/>
  <c r="AO95" i="23"/>
  <c r="BB95" i="23"/>
  <c r="AJ95" i="23"/>
  <c r="BD95" i="23"/>
  <c r="AT95" i="23"/>
  <c r="AY95" i="23"/>
  <c r="AV95" i="23"/>
  <c r="AL95" i="23"/>
  <c r="AQ95" i="23"/>
  <c r="AN95" i="23"/>
  <c r="BA95" i="23"/>
  <c r="AI95" i="23"/>
  <c r="AU95" i="23"/>
  <c r="AK93" i="23"/>
  <c r="BD93" i="23"/>
  <c r="AT93" i="23"/>
  <c r="AZ93" i="23"/>
  <c r="AV93" i="23"/>
  <c r="AO93" i="23"/>
  <c r="AR93" i="23"/>
  <c r="AN93" i="23"/>
  <c r="AL93" i="23"/>
  <c r="AY93" i="23"/>
  <c r="BC93" i="23"/>
  <c r="AJ93" i="23"/>
  <c r="AQ93" i="23"/>
  <c r="AU93" i="23"/>
  <c r="AI93" i="23"/>
  <c r="AM93" i="23"/>
  <c r="BA93" i="23"/>
  <c r="AX93" i="23"/>
  <c r="BB93" i="23"/>
  <c r="AS93" i="23"/>
  <c r="AP93" i="23"/>
  <c r="AW93" i="23"/>
  <c r="AF83" i="24"/>
  <c r="AE83" i="24"/>
  <c r="Z83" i="24"/>
  <c r="AD83" i="24"/>
  <c r="Y83" i="24"/>
  <c r="AC83" i="24"/>
  <c r="X83" i="24"/>
  <c r="AB83" i="24"/>
  <c r="AA83" i="24"/>
  <c r="AH83" i="24"/>
  <c r="AG83" i="24"/>
  <c r="X66" i="24"/>
  <c r="AA66" i="24"/>
  <c r="AG66" i="24"/>
  <c r="AH66" i="24"/>
  <c r="Y66" i="24"/>
  <c r="AF66" i="24"/>
  <c r="Z66" i="24"/>
  <c r="AE66" i="24"/>
  <c r="AD66" i="24"/>
  <c r="AC66" i="24"/>
  <c r="AB66" i="24"/>
  <c r="AH71" i="24"/>
  <c r="AC71" i="24"/>
  <c r="AB71" i="24"/>
  <c r="Z71" i="24"/>
  <c r="AA71" i="24"/>
  <c r="AE71" i="24"/>
  <c r="Y71" i="24"/>
  <c r="AG71" i="24"/>
  <c r="X71" i="24"/>
  <c r="AF71" i="24"/>
  <c r="AD71" i="24"/>
  <c r="E30" i="5"/>
  <c r="AH59" i="24"/>
  <c r="Y59" i="24"/>
  <c r="AF59" i="24"/>
  <c r="X59" i="24"/>
  <c r="AE59" i="24"/>
  <c r="AD59" i="24"/>
  <c r="AC59" i="24"/>
  <c r="AA59" i="24"/>
  <c r="AB59" i="24"/>
  <c r="AG59" i="24"/>
  <c r="Z59" i="24"/>
  <c r="AZ103" i="23"/>
  <c r="AW103" i="23"/>
  <c r="AR103" i="23"/>
  <c r="AO103" i="23"/>
  <c r="BB103" i="23"/>
  <c r="AJ103" i="23"/>
  <c r="BD103" i="23"/>
  <c r="AT103" i="23"/>
  <c r="AY103" i="23"/>
  <c r="AV103" i="23"/>
  <c r="AL103" i="23"/>
  <c r="AQ103" i="23"/>
  <c r="AN103" i="23"/>
  <c r="BA103" i="23"/>
  <c r="AI103" i="23"/>
  <c r="BC103" i="23"/>
  <c r="AS103" i="23"/>
  <c r="AX103" i="23"/>
  <c r="AM103" i="23"/>
  <c r="AK103" i="23"/>
  <c r="AP103" i="23"/>
  <c r="AU103" i="23"/>
  <c r="AF54" i="24"/>
  <c r="AH54" i="24"/>
  <c r="AD54" i="24"/>
  <c r="AE54" i="24"/>
  <c r="X54" i="24"/>
  <c r="AC54" i="24"/>
  <c r="AA54" i="24"/>
  <c r="AG54" i="24"/>
  <c r="Z54" i="24"/>
  <c r="AB54" i="24"/>
  <c r="Y54" i="24"/>
  <c r="AY67" i="23"/>
  <c r="AW67" i="23"/>
  <c r="AN67" i="23"/>
  <c r="BA67" i="23"/>
  <c r="AZ67" i="23"/>
  <c r="BB67" i="23"/>
  <c r="AM67" i="23"/>
  <c r="AQ67" i="23"/>
  <c r="AU67" i="23"/>
  <c r="AR67" i="23"/>
  <c r="AT67" i="23"/>
  <c r="BC67" i="23"/>
  <c r="AI67" i="23"/>
  <c r="AJ67" i="23"/>
  <c r="AL67" i="23"/>
  <c r="AO67" i="23"/>
  <c r="AX67" i="23"/>
  <c r="AP67" i="23"/>
  <c r="AS67" i="23"/>
  <c r="BD67" i="23"/>
  <c r="AV67" i="23"/>
  <c r="AK67" i="23"/>
  <c r="M25" i="6"/>
  <c r="M49" i="6"/>
  <c r="M27" i="6"/>
  <c r="M40" i="6"/>
  <c r="M33" i="6"/>
  <c r="M21" i="6"/>
  <c r="M31" i="6"/>
  <c r="M44" i="6"/>
  <c r="M37" i="6"/>
  <c r="M35" i="6"/>
  <c r="M30" i="6"/>
  <c r="M48" i="6"/>
  <c r="M41" i="6"/>
  <c r="M42" i="6"/>
  <c r="M22" i="6"/>
  <c r="M39" i="6"/>
  <c r="M34" i="6"/>
  <c r="M46" i="6"/>
  <c r="M45" i="6"/>
  <c r="M43" i="6"/>
  <c r="M47" i="6"/>
  <c r="M28" i="6"/>
  <c r="M19" i="6"/>
  <c r="M50" i="6"/>
  <c r="M36" i="6"/>
  <c r="M29" i="6"/>
  <c r="M18" i="6"/>
  <c r="M23" i="6"/>
  <c r="M38" i="6"/>
  <c r="M51" i="6"/>
  <c r="M17" i="6"/>
  <c r="M32" i="6"/>
  <c r="M24" i="6"/>
  <c r="M20" i="6"/>
  <c r="M26" i="6"/>
  <c r="M12" i="6"/>
  <c r="M11" i="6"/>
  <c r="M13" i="6"/>
  <c r="M8" i="6"/>
  <c r="M7" i="6"/>
  <c r="M14" i="6"/>
  <c r="AV75" i="23"/>
  <c r="AT75" i="23"/>
  <c r="AW75" i="23"/>
  <c r="AP75" i="23"/>
  <c r="AL75" i="23"/>
  <c r="AO75" i="23"/>
  <c r="AZ75" i="23"/>
  <c r="P75" i="23"/>
  <c r="AN75" i="23"/>
  <c r="BD75" i="23"/>
  <c r="AJ75" i="23"/>
  <c r="BC75" i="23"/>
  <c r="AX75" i="23"/>
  <c r="AY75" i="23"/>
  <c r="AS75" i="23"/>
  <c r="AM75" i="23"/>
  <c r="AQ75" i="23"/>
  <c r="BB75" i="23"/>
  <c r="AU75" i="23"/>
  <c r="AI75" i="23"/>
  <c r="AR75" i="23"/>
  <c r="AK75" i="23"/>
  <c r="R75" i="23"/>
  <c r="BA75" i="23"/>
  <c r="AK89" i="23"/>
  <c r="AN89" i="23"/>
  <c r="AR89" i="23"/>
  <c r="AY89" i="23"/>
  <c r="BC89" i="23"/>
  <c r="AO89" i="23"/>
  <c r="AQ89" i="23"/>
  <c r="AU89" i="23"/>
  <c r="AL89" i="23"/>
  <c r="AI89" i="23"/>
  <c r="AM89" i="23"/>
  <c r="AJ89" i="23"/>
  <c r="AX89" i="23"/>
  <c r="BB89" i="23"/>
  <c r="AP89" i="23"/>
  <c r="AZ89" i="23"/>
  <c r="BA89" i="23"/>
  <c r="BD89" i="23"/>
  <c r="AW89" i="23"/>
  <c r="AS89" i="23"/>
  <c r="AV89" i="23"/>
  <c r="AT89" i="23"/>
  <c r="AH67" i="24"/>
  <c r="Y67" i="24"/>
  <c r="AF67" i="24"/>
  <c r="X67" i="24"/>
  <c r="AE67" i="24"/>
  <c r="AD67" i="24"/>
  <c r="AC67" i="24"/>
  <c r="Z67" i="24"/>
  <c r="AB67" i="24"/>
  <c r="AA67" i="24"/>
  <c r="AG67" i="24"/>
  <c r="BA62" i="23"/>
  <c r="AS62" i="23"/>
  <c r="AN62" i="23"/>
  <c r="AP62" i="23"/>
  <c r="BB62" i="23"/>
  <c r="AW62" i="23"/>
  <c r="AI62" i="23"/>
  <c r="AT62" i="23"/>
  <c r="AO62" i="23"/>
  <c r="AY62" i="23"/>
  <c r="R8" i="25" s="1"/>
  <c r="AL62" i="23"/>
  <c r="AZ62" i="23"/>
  <c r="S10" i="25" s="1"/>
  <c r="AM62" i="23"/>
  <c r="AQ62" i="23"/>
  <c r="AU62" i="23"/>
  <c r="AR62" i="23"/>
  <c r="BC62" i="23"/>
  <c r="V6" i="25" s="1"/>
  <c r="AK62" i="23"/>
  <c r="BD62" i="23"/>
  <c r="AJ62" i="23"/>
  <c r="AV62" i="23"/>
  <c r="O6" i="25" s="1"/>
  <c r="AX62" i="23"/>
  <c r="Z50" i="24"/>
  <c r="AE50" i="24"/>
  <c r="X50" i="24"/>
  <c r="AB50" i="24"/>
  <c r="AH50" i="24"/>
  <c r="AC50" i="24"/>
  <c r="AA50" i="24"/>
  <c r="AG50" i="24"/>
  <c r="Y50" i="24"/>
  <c r="AF50" i="24"/>
  <c r="AD50" i="24"/>
  <c r="AS97" i="23"/>
  <c r="AX97" i="23"/>
  <c r="AM97" i="23"/>
  <c r="AK97" i="23"/>
  <c r="AP97" i="23"/>
  <c r="BC97" i="23"/>
  <c r="AZ97" i="23"/>
  <c r="AW97" i="23"/>
  <c r="AR97" i="23"/>
  <c r="AO97" i="23"/>
  <c r="BB97" i="23"/>
  <c r="AJ97" i="23"/>
  <c r="BD97" i="23"/>
  <c r="AT97" i="23"/>
  <c r="AY97" i="23"/>
  <c r="AV97" i="23"/>
  <c r="AL97" i="23"/>
  <c r="AQ97" i="23"/>
  <c r="AN97" i="23"/>
  <c r="BA97" i="23"/>
  <c r="AI97" i="23"/>
  <c r="AU97" i="23"/>
  <c r="AB43" i="10"/>
  <c r="P43" i="10"/>
  <c r="V47" i="10"/>
  <c r="O43" i="10"/>
  <c r="R43" i="10"/>
  <c r="R48" i="10" s="1"/>
  <c r="T43" i="10"/>
  <c r="M47" i="10"/>
  <c r="U43" i="10"/>
  <c r="U48" i="10" s="1"/>
  <c r="Z43" i="10"/>
  <c r="Z48" i="10" s="1"/>
  <c r="P47" i="10"/>
  <c r="U47" i="10"/>
  <c r="Q43" i="10"/>
  <c r="L43" i="10"/>
  <c r="L48" i="10" s="1"/>
  <c r="N47" i="10"/>
  <c r="T47" i="10"/>
  <c r="N43" i="10"/>
  <c r="N48" i="10" s="1"/>
  <c r="S43" i="10"/>
  <c r="V43" i="10"/>
  <c r="V48" i="10" s="1"/>
  <c r="M43" i="10"/>
  <c r="M48" i="10" s="1"/>
  <c r="O47" i="10"/>
  <c r="X43" i="10"/>
  <c r="X48" i="10" s="1"/>
  <c r="W43" i="10"/>
  <c r="AA43" i="10"/>
  <c r="X47" i="10"/>
  <c r="Y43" i="10"/>
  <c r="AH82" i="24"/>
  <c r="Z82" i="24"/>
  <c r="AG82" i="24"/>
  <c r="Y82" i="24"/>
  <c r="AF82" i="24"/>
  <c r="AC82" i="24"/>
  <c r="AE82" i="24"/>
  <c r="AB82" i="24"/>
  <c r="AD82" i="24"/>
  <c r="AA82" i="24"/>
  <c r="X82" i="24"/>
  <c r="AH75" i="24"/>
  <c r="AD75" i="24"/>
  <c r="X75" i="24"/>
  <c r="AC75" i="24"/>
  <c r="AA75" i="24"/>
  <c r="AG75" i="24"/>
  <c r="AF75" i="24"/>
  <c r="AB75" i="24"/>
  <c r="Z75" i="24"/>
  <c r="AE75" i="24"/>
  <c r="Y75" i="24"/>
  <c r="AF56" i="24"/>
  <c r="AB56" i="24"/>
  <c r="AH56" i="24"/>
  <c r="Z56" i="24"/>
  <c r="AG56" i="24"/>
  <c r="AD56" i="24"/>
  <c r="Y56" i="24"/>
  <c r="AE56" i="24"/>
  <c r="X56" i="24"/>
  <c r="AA56" i="24"/>
  <c r="AC56" i="24"/>
  <c r="AW64" i="23"/>
  <c r="BA64" i="23"/>
  <c r="AK64" i="23"/>
  <c r="AM64" i="23"/>
  <c r="AS64" i="23"/>
  <c r="AN64" i="23"/>
  <c r="AP64" i="23"/>
  <c r="BC64" i="23"/>
  <c r="BB64" i="23"/>
  <c r="AT64" i="23"/>
  <c r="AL64" i="23"/>
  <c r="AZ64" i="23"/>
  <c r="AO64" i="23"/>
  <c r="AR64" i="23"/>
  <c r="AQ64" i="23"/>
  <c r="J8" i="25" s="1"/>
  <c r="AU64" i="23"/>
  <c r="BD64" i="23"/>
  <c r="AJ64" i="23"/>
  <c r="AI64" i="23"/>
  <c r="AV64" i="23"/>
  <c r="AX64" i="23"/>
  <c r="AY64" i="23"/>
  <c r="AL87" i="23"/>
  <c r="AS87" i="23"/>
  <c r="AV87" i="23"/>
  <c r="AW87" i="23"/>
  <c r="AK87" i="23"/>
  <c r="AN87" i="23"/>
  <c r="AT87" i="23"/>
  <c r="AY87" i="23"/>
  <c r="BC87" i="23"/>
  <c r="AR87" i="23"/>
  <c r="AQ87" i="23"/>
  <c r="AU87" i="23"/>
  <c r="AO87" i="23"/>
  <c r="AI87" i="23"/>
  <c r="AM87" i="23"/>
  <c r="AX87" i="23"/>
  <c r="AJ87" i="23"/>
  <c r="AP87" i="23"/>
  <c r="BB87" i="23"/>
  <c r="BA87" i="23"/>
  <c r="BD87" i="23"/>
  <c r="AZ87" i="23"/>
  <c r="AD51" i="24"/>
  <c r="AH51" i="24"/>
  <c r="X51" i="24"/>
  <c r="AG51" i="24"/>
  <c r="Z51" i="24"/>
  <c r="AF51" i="24"/>
  <c r="Y51" i="24"/>
  <c r="AB51" i="24"/>
  <c r="AE51" i="24"/>
  <c r="AC51" i="24"/>
  <c r="AA51" i="24"/>
  <c r="V10" i="25"/>
  <c r="X43" i="11"/>
  <c r="Y43" i="11"/>
  <c r="O55" i="6"/>
  <c r="O60" i="6" s="1"/>
  <c r="V55" i="6"/>
  <c r="Q55" i="6"/>
  <c r="Q60" i="6" s="1"/>
  <c r="U55" i="6"/>
  <c r="U60" i="6" s="1"/>
  <c r="AF55" i="6"/>
  <c r="AF60" i="6" s="1"/>
  <c r="X55" i="6"/>
  <c r="X60" i="6" s="1"/>
  <c r="AC55" i="6"/>
  <c r="AC60" i="6" s="1"/>
  <c r="AA55" i="6"/>
  <c r="Y55" i="6"/>
  <c r="AH55" i="6"/>
  <c r="AH60" i="6" s="1"/>
  <c r="AE55" i="6"/>
  <c r="AE60" i="6" s="1"/>
  <c r="S55" i="6"/>
  <c r="S60" i="6" s="1"/>
  <c r="Z55" i="6"/>
  <c r="R55" i="6"/>
  <c r="R60" i="6" s="1"/>
  <c r="W55" i="6"/>
  <c r="W60" i="6" s="1"/>
  <c r="P55" i="6"/>
  <c r="P60" i="6" s="1"/>
  <c r="L55" i="6"/>
  <c r="L60" i="6" s="1"/>
  <c r="AI55" i="6"/>
  <c r="AI60" i="6" s="1"/>
  <c r="AI17" i="7" s="1"/>
  <c r="AM69" i="23"/>
  <c r="AQ69" i="23"/>
  <c r="AN69" i="23"/>
  <c r="AK69" i="23"/>
  <c r="AI69" i="23"/>
  <c r="BB69" i="23"/>
  <c r="AX69" i="23"/>
  <c r="AT69" i="23"/>
  <c r="AU69" i="23"/>
  <c r="AP69" i="23"/>
  <c r="AL69" i="23"/>
  <c r="BC69" i="23"/>
  <c r="AZ69" i="23"/>
  <c r="AW69" i="23"/>
  <c r="AS69" i="23"/>
  <c r="AR69" i="23"/>
  <c r="AO69" i="23"/>
  <c r="AJ69" i="23"/>
  <c r="BD69" i="23"/>
  <c r="BA69" i="23"/>
  <c r="AY69" i="23"/>
  <c r="AV69" i="23"/>
  <c r="AW68" i="23"/>
  <c r="AO68" i="23"/>
  <c r="BD68" i="23"/>
  <c r="AL68" i="23"/>
  <c r="AP68" i="23"/>
  <c r="AV68" i="23"/>
  <c r="BA68" i="23"/>
  <c r="AN68" i="23"/>
  <c r="AS68" i="23"/>
  <c r="AI68" i="23"/>
  <c r="BC68" i="23"/>
  <c r="AK68" i="23"/>
  <c r="AY68" i="23"/>
  <c r="AQ68" i="23"/>
  <c r="AU68" i="23"/>
  <c r="AZ68" i="23"/>
  <c r="AM68" i="23"/>
  <c r="AR68" i="23"/>
  <c r="BB68" i="23"/>
  <c r="AJ68" i="23"/>
  <c r="AT68" i="23"/>
  <c r="AX68" i="23"/>
  <c r="Y55" i="24"/>
  <c r="X55" i="24"/>
  <c r="AE55" i="24"/>
  <c r="AC55" i="24"/>
  <c r="AA55" i="24"/>
  <c r="AG55" i="24"/>
  <c r="AH55" i="24"/>
  <c r="Z55" i="24"/>
  <c r="AB55" i="24"/>
  <c r="AD55" i="24"/>
  <c r="AF55" i="24"/>
  <c r="AF53" i="7"/>
  <c r="AE53" i="7"/>
  <c r="AA53" i="7"/>
  <c r="AA58" i="7" s="1"/>
  <c r="Z53" i="7"/>
  <c r="Z58" i="7" s="1"/>
  <c r="AG53" i="7"/>
  <c r="BA79" i="23"/>
  <c r="AP79" i="23"/>
  <c r="AZ79" i="23"/>
  <c r="AK79" i="23"/>
  <c r="AY79" i="23"/>
  <c r="AO79" i="23"/>
  <c r="AT79" i="23"/>
  <c r="AQ79" i="23"/>
  <c r="AX79" i="23"/>
  <c r="AJ79" i="23"/>
  <c r="AI79" i="23"/>
  <c r="AN79" i="23"/>
  <c r="BD79" i="23"/>
  <c r="R79" i="23"/>
  <c r="AW79" i="23"/>
  <c r="AS79" i="23"/>
  <c r="BC79" i="23"/>
  <c r="AL79" i="23"/>
  <c r="BB79" i="23"/>
  <c r="AU79" i="23"/>
  <c r="P79" i="23"/>
  <c r="AR79" i="23"/>
  <c r="AM79" i="23"/>
  <c r="AV79" i="23"/>
  <c r="AO85" i="23"/>
  <c r="AP85" i="23"/>
  <c r="AJ85" i="23"/>
  <c r="BA85" i="23"/>
  <c r="BD85" i="23"/>
  <c r="BB85" i="23"/>
  <c r="AS85" i="23"/>
  <c r="AV85" i="23"/>
  <c r="AZ85" i="23"/>
  <c r="AK85" i="23"/>
  <c r="AN85" i="23"/>
  <c r="AW85" i="23"/>
  <c r="AY85" i="23"/>
  <c r="BC85" i="23"/>
  <c r="AT85" i="23"/>
  <c r="AQ85" i="23"/>
  <c r="AU85" i="23"/>
  <c r="AR85" i="23"/>
  <c r="AI85" i="23"/>
  <c r="AM85" i="23"/>
  <c r="AX85" i="23"/>
  <c r="AL85" i="23"/>
  <c r="AI81" i="23"/>
  <c r="BA81" i="23"/>
  <c r="AJ81" i="23"/>
  <c r="R81" i="23"/>
  <c r="AO81" i="23"/>
  <c r="AT81" i="23"/>
  <c r="BD81" i="23"/>
  <c r="P81" i="23"/>
  <c r="AS81" i="23"/>
  <c r="AV81" i="23"/>
  <c r="AZ81" i="23"/>
  <c r="AR81" i="23"/>
  <c r="AN81" i="23"/>
  <c r="AL81" i="23"/>
  <c r="BB81" i="23"/>
  <c r="BC81" i="23"/>
  <c r="AX81" i="23"/>
  <c r="AP81" i="23"/>
  <c r="AY81" i="23"/>
  <c r="AU81" i="23"/>
  <c r="AK81" i="23"/>
  <c r="AQ81" i="23"/>
  <c r="AM81" i="23"/>
  <c r="AW81" i="23"/>
  <c r="AN72" i="23"/>
  <c r="AX72" i="23"/>
  <c r="AL72" i="23"/>
  <c r="AQ72" i="23"/>
  <c r="BC72" i="23"/>
  <c r="AV72" i="23"/>
  <c r="AY72" i="23"/>
  <c r="AU72" i="23"/>
  <c r="AJ72" i="23"/>
  <c r="AO72" i="23"/>
  <c r="AM72" i="23"/>
  <c r="AT72" i="23"/>
  <c r="BA72" i="23"/>
  <c r="AI72" i="23"/>
  <c r="AS72" i="23"/>
  <c r="BD72" i="23"/>
  <c r="AK72" i="23"/>
  <c r="AR72" i="23"/>
  <c r="AP72" i="23"/>
  <c r="AZ72" i="23"/>
  <c r="AW72" i="23"/>
  <c r="BB72" i="23"/>
  <c r="AA74" i="24"/>
  <c r="X74" i="24"/>
  <c r="AH74" i="24"/>
  <c r="AF74" i="24"/>
  <c r="AC74" i="24"/>
  <c r="AE74" i="24"/>
  <c r="AB74" i="24"/>
  <c r="AD74" i="24"/>
  <c r="AG74" i="24"/>
  <c r="Y74" i="24"/>
  <c r="Z74" i="24"/>
  <c r="AD63" i="24"/>
  <c r="AC63" i="24"/>
  <c r="AH63" i="24"/>
  <c r="AA63" i="24"/>
  <c r="Z63" i="24"/>
  <c r="AB63" i="24"/>
  <c r="AG63" i="24"/>
  <c r="Y63" i="24"/>
  <c r="AF63" i="24"/>
  <c r="X63" i="24"/>
  <c r="AE63" i="24"/>
  <c r="AP77" i="23"/>
  <c r="AM77" i="23"/>
  <c r="BA77" i="23"/>
  <c r="AW77" i="23"/>
  <c r="BB77" i="23"/>
  <c r="AO77" i="23"/>
  <c r="AT77" i="23"/>
  <c r="BD77" i="23"/>
  <c r="AL77" i="23"/>
  <c r="AY77" i="23"/>
  <c r="AV77" i="23"/>
  <c r="AS77" i="23"/>
  <c r="AQ77" i="23"/>
  <c r="AN77" i="23"/>
  <c r="AR77" i="23"/>
  <c r="AZ77" i="23"/>
  <c r="AI77" i="23"/>
  <c r="BC77" i="23"/>
  <c r="AK77" i="23"/>
  <c r="AX77" i="23"/>
  <c r="AU77" i="23"/>
  <c r="AJ77" i="23"/>
  <c r="AZ80" i="23"/>
  <c r="AI80" i="23"/>
  <c r="AK80" i="23"/>
  <c r="AP80" i="23"/>
  <c r="R80" i="23"/>
  <c r="AT80" i="23"/>
  <c r="AX80" i="23"/>
  <c r="AJ80" i="23"/>
  <c r="AO80" i="23"/>
  <c r="BC80" i="23"/>
  <c r="AN80" i="23"/>
  <c r="BD80" i="23"/>
  <c r="AU80" i="23"/>
  <c r="AW80" i="23"/>
  <c r="AS80" i="23"/>
  <c r="AM80" i="23"/>
  <c r="AL80" i="23"/>
  <c r="BB80" i="23"/>
  <c r="AY80" i="23"/>
  <c r="P80" i="23"/>
  <c r="AR80" i="23"/>
  <c r="AQ80" i="23"/>
  <c r="AV80" i="23"/>
  <c r="BA80" i="23"/>
  <c r="Z79" i="24"/>
  <c r="X79" i="24"/>
  <c r="AH79" i="24"/>
  <c r="AG79" i="24"/>
  <c r="AE79" i="24"/>
  <c r="AF79" i="24"/>
  <c r="AD79" i="24"/>
  <c r="AB79" i="24"/>
  <c r="AC79" i="24"/>
  <c r="AA79" i="24"/>
  <c r="Y79" i="24"/>
  <c r="AZ76" i="23"/>
  <c r="AW76" i="23"/>
  <c r="AQ76" i="23"/>
  <c r="BB76" i="23"/>
  <c r="BC76" i="23"/>
  <c r="AI76" i="23"/>
  <c r="AO76" i="23"/>
  <c r="AN76" i="23"/>
  <c r="AU76" i="23"/>
  <c r="AV76" i="23"/>
  <c r="P76" i="23"/>
  <c r="AM76" i="23"/>
  <c r="AT76" i="23"/>
  <c r="AX76" i="23"/>
  <c r="AJ76" i="23"/>
  <c r="BA76" i="23"/>
  <c r="AR76" i="23"/>
  <c r="AL76" i="23"/>
  <c r="AS76" i="23"/>
  <c r="R76" i="23"/>
  <c r="AK76" i="23"/>
  <c r="BD76" i="23"/>
  <c r="AY76" i="23"/>
  <c r="AP76" i="23"/>
  <c r="L47" i="12"/>
  <c r="F4" i="5"/>
  <c r="E4" i="5"/>
  <c r="L47" i="11"/>
  <c r="AI15" i="7"/>
  <c r="AI25" i="7"/>
  <c r="AI28" i="7"/>
  <c r="AI14" i="7"/>
  <c r="AI20" i="7"/>
  <c r="AI26" i="7"/>
  <c r="AI27" i="7"/>
  <c r="AI13" i="7"/>
  <c r="AI6" i="7"/>
  <c r="AI23" i="7"/>
  <c r="AI38" i="7"/>
  <c r="AI8" i="7"/>
  <c r="AI36" i="7"/>
  <c r="AI30" i="7"/>
  <c r="AI41" i="7"/>
  <c r="AI21" i="7"/>
  <c r="AI47" i="7"/>
  <c r="AI48" i="7"/>
  <c r="AI50" i="7"/>
  <c r="AI44" i="7"/>
  <c r="AI31" i="7"/>
  <c r="AI39" i="7"/>
  <c r="AI35" i="7"/>
  <c r="AI43" i="7"/>
  <c r="S46" i="12"/>
  <c r="S46" i="13"/>
  <c r="S46" i="10"/>
  <c r="S46" i="11"/>
  <c r="S45" i="13"/>
  <c r="S45" i="12"/>
  <c r="S45" i="10"/>
  <c r="S45" i="11"/>
  <c r="L15" i="11"/>
  <c r="L7" i="11"/>
  <c r="L8" i="11"/>
  <c r="L9" i="11"/>
  <c r="L5" i="11"/>
  <c r="L6" i="11"/>
  <c r="L38" i="11"/>
  <c r="L14" i="11"/>
  <c r="L22" i="11"/>
  <c r="L10" i="11"/>
  <c r="L26" i="11"/>
  <c r="L20" i="11"/>
  <c r="L13" i="11"/>
  <c r="L35" i="11"/>
  <c r="L32" i="11"/>
  <c r="L28" i="11"/>
  <c r="L30" i="11"/>
  <c r="L31" i="11"/>
  <c r="L40" i="11"/>
  <c r="L23" i="11"/>
  <c r="L12" i="11"/>
  <c r="L33" i="11"/>
  <c r="L39" i="11"/>
  <c r="L25" i="11"/>
  <c r="L19" i="11"/>
  <c r="L29" i="11"/>
  <c r="L11" i="11"/>
  <c r="L24" i="11"/>
  <c r="L36" i="11"/>
  <c r="L27" i="11"/>
  <c r="L21" i="11"/>
  <c r="L18" i="11"/>
  <c r="L41" i="11"/>
  <c r="L37" i="11"/>
  <c r="L17" i="11"/>
  <c r="L16" i="11"/>
  <c r="L34" i="11"/>
  <c r="U15" i="11"/>
  <c r="U7" i="11"/>
  <c r="U8" i="11"/>
  <c r="U9" i="11"/>
  <c r="U5" i="11"/>
  <c r="U26" i="11"/>
  <c r="U22" i="11"/>
  <c r="U10" i="11"/>
  <c r="U30" i="11"/>
  <c r="U18" i="11"/>
  <c r="U6" i="11"/>
  <c r="U14" i="11"/>
  <c r="U34" i="11"/>
  <c r="U11" i="11"/>
  <c r="U21" i="11"/>
  <c r="U36" i="11"/>
  <c r="U20" i="11"/>
  <c r="U29" i="11"/>
  <c r="U31" i="11"/>
  <c r="U33" i="11"/>
  <c r="U28" i="11"/>
  <c r="U39" i="11"/>
  <c r="U41" i="11"/>
  <c r="U24" i="11"/>
  <c r="U17" i="11"/>
  <c r="U19" i="11"/>
  <c r="U12" i="11"/>
  <c r="U40" i="11"/>
  <c r="U25" i="11"/>
  <c r="U27" i="11"/>
  <c r="U13" i="11"/>
  <c r="U38" i="11"/>
  <c r="U23" i="11"/>
  <c r="U16" i="11"/>
  <c r="U35" i="11"/>
  <c r="U37" i="11"/>
  <c r="U32" i="11"/>
  <c r="L32" i="13"/>
  <c r="N8" i="11"/>
  <c r="N9" i="11"/>
  <c r="N5" i="11"/>
  <c r="N10" i="11"/>
  <c r="N6" i="11"/>
  <c r="N11" i="11"/>
  <c r="N19" i="11"/>
  <c r="N7" i="11"/>
  <c r="N27" i="11"/>
  <c r="N15" i="11"/>
  <c r="N23" i="11"/>
  <c r="N21" i="11"/>
  <c r="N13" i="11"/>
  <c r="N25" i="11"/>
  <c r="N32" i="11"/>
  <c r="N29" i="11"/>
  <c r="N22" i="11"/>
  <c r="N14" i="11"/>
  <c r="N40" i="11"/>
  <c r="N20" i="11"/>
  <c r="N30" i="11"/>
  <c r="N31" i="11"/>
  <c r="N36" i="11"/>
  <c r="N18" i="11"/>
  <c r="N24" i="11"/>
  <c r="N12" i="11"/>
  <c r="N17" i="11"/>
  <c r="N41" i="11"/>
  <c r="N38" i="11"/>
  <c r="N34" i="11"/>
  <c r="N39" i="11"/>
  <c r="N37" i="11"/>
  <c r="N16" i="11"/>
  <c r="N26" i="11"/>
  <c r="N33" i="11"/>
  <c r="N35" i="11"/>
  <c r="N28" i="11"/>
  <c r="Z9" i="11"/>
  <c r="Z5" i="11"/>
  <c r="Z10" i="11"/>
  <c r="Z6" i="11"/>
  <c r="Z15" i="11"/>
  <c r="Z7" i="11"/>
  <c r="Z8" i="11"/>
  <c r="Z16" i="11"/>
  <c r="Z24" i="11"/>
  <c r="Z12" i="11"/>
  <c r="Z28" i="11"/>
  <c r="Z40" i="11"/>
  <c r="Z19" i="11"/>
  <c r="Z21" i="11"/>
  <c r="Z14" i="11"/>
  <c r="Z38" i="11"/>
  <c r="Z18" i="11"/>
  <c r="Z27" i="11"/>
  <c r="Z29" i="11"/>
  <c r="Z23" i="11"/>
  <c r="Z34" i="11"/>
  <c r="Z26" i="11"/>
  <c r="Z11" i="11"/>
  <c r="Z13" i="11"/>
  <c r="Z17" i="11"/>
  <c r="Z37" i="11"/>
  <c r="Z20" i="11"/>
  <c r="Z32" i="11"/>
  <c r="Z30" i="11"/>
  <c r="Z39" i="11"/>
  <c r="Z41" i="11"/>
  <c r="Z31" i="11"/>
  <c r="Z36" i="11"/>
  <c r="Z33" i="11"/>
  <c r="Z22" i="11"/>
  <c r="Z25" i="11"/>
  <c r="Z35" i="11"/>
  <c r="AA53" i="9"/>
  <c r="N54" i="8"/>
  <c r="N58" i="8" s="1"/>
  <c r="N54" i="9"/>
  <c r="N54" i="7"/>
  <c r="V8" i="11"/>
  <c r="V9" i="11"/>
  <c r="V5" i="11"/>
  <c r="V10" i="11"/>
  <c r="V6" i="11"/>
  <c r="V15" i="11"/>
  <c r="V7" i="11"/>
  <c r="V24" i="11"/>
  <c r="V26" i="11"/>
  <c r="V40" i="11"/>
  <c r="V11" i="11"/>
  <c r="V34" i="11"/>
  <c r="V20" i="11"/>
  <c r="V14" i="11"/>
  <c r="V22" i="11"/>
  <c r="V41" i="11"/>
  <c r="V29" i="11"/>
  <c r="V31" i="11"/>
  <c r="V16" i="11"/>
  <c r="V25" i="11"/>
  <c r="V18" i="11"/>
  <c r="V27" i="11"/>
  <c r="V21" i="11"/>
  <c r="V32" i="11"/>
  <c r="V39" i="11"/>
  <c r="V28" i="11"/>
  <c r="V19" i="11"/>
  <c r="V13" i="11"/>
  <c r="V12" i="11"/>
  <c r="V36" i="11"/>
  <c r="V30" i="11"/>
  <c r="V23" i="11"/>
  <c r="V38" i="11"/>
  <c r="V17" i="11"/>
  <c r="V35" i="11"/>
  <c r="V33" i="11"/>
  <c r="V37" i="11"/>
  <c r="D46" i="5"/>
  <c r="Q44" i="13"/>
  <c r="Q44" i="12"/>
  <c r="Q44" i="10"/>
  <c r="Q44" i="11"/>
  <c r="D10" i="5"/>
  <c r="T56" i="6" s="1"/>
  <c r="Z44" i="8" l="1"/>
  <c r="Y44" i="23" s="1"/>
  <c r="Y96" i="23" s="1"/>
  <c r="Z38" i="8"/>
  <c r="Y38" i="23" s="1"/>
  <c r="Y90" i="23" s="1"/>
  <c r="Z17" i="8"/>
  <c r="Y17" i="23" s="1"/>
  <c r="Y69" i="23" s="1"/>
  <c r="Z15" i="8"/>
  <c r="Y15" i="23" s="1"/>
  <c r="Y67" i="23" s="1"/>
  <c r="Z13" i="8"/>
  <c r="Y13" i="23" s="1"/>
  <c r="Y65" i="23" s="1"/>
  <c r="Z11" i="8"/>
  <c r="Y11" i="23" s="1"/>
  <c r="Y63" i="23" s="1"/>
  <c r="Z41" i="8"/>
  <c r="Y41" i="23" s="1"/>
  <c r="Y93" i="23" s="1"/>
  <c r="Z30" i="8"/>
  <c r="Y30" i="23" s="1"/>
  <c r="Y82" i="23" s="1"/>
  <c r="Z10" i="8"/>
  <c r="Y10" i="23" s="1"/>
  <c r="Y62" i="23" s="1"/>
  <c r="Z9" i="8"/>
  <c r="Y9" i="23" s="1"/>
  <c r="Y61" i="23" s="1"/>
  <c r="Z8" i="8"/>
  <c r="Y8" i="23" s="1"/>
  <c r="Y60" i="23" s="1"/>
  <c r="Z19" i="8"/>
  <c r="Y19" i="23" s="1"/>
  <c r="Y71" i="23" s="1"/>
  <c r="Z48" i="8"/>
  <c r="Y48" i="23" s="1"/>
  <c r="Y100" i="23" s="1"/>
  <c r="Z46" i="8"/>
  <c r="Y46" i="23" s="1"/>
  <c r="Y98" i="23" s="1"/>
  <c r="Z18" i="8"/>
  <c r="Y18" i="23" s="1"/>
  <c r="Y70" i="23" s="1"/>
  <c r="Z16" i="8"/>
  <c r="Y16" i="23" s="1"/>
  <c r="Y68" i="23" s="1"/>
  <c r="Z22" i="8"/>
  <c r="Y22" i="23" s="1"/>
  <c r="Y74" i="23" s="1"/>
  <c r="Z20" i="8"/>
  <c r="Y20" i="23" s="1"/>
  <c r="Y72" i="23" s="1"/>
  <c r="Z37" i="8"/>
  <c r="Y37" i="23" s="1"/>
  <c r="Y89" i="23" s="1"/>
  <c r="Z39" i="8"/>
  <c r="Y39" i="23" s="1"/>
  <c r="Y91" i="23" s="1"/>
  <c r="Z29" i="8"/>
  <c r="Y29" i="23" s="1"/>
  <c r="Y81" i="23" s="1"/>
  <c r="Z6" i="8"/>
  <c r="Y6" i="23" s="1"/>
  <c r="Y58" i="23" s="1"/>
  <c r="Z42" i="8"/>
  <c r="Y42" i="23" s="1"/>
  <c r="Y94" i="23" s="1"/>
  <c r="Z32" i="8"/>
  <c r="Y32" i="23" s="1"/>
  <c r="Y84" i="23" s="1"/>
  <c r="Z50" i="8"/>
  <c r="Y50" i="23" s="1"/>
  <c r="Y102" i="23" s="1"/>
  <c r="Z49" i="8"/>
  <c r="Y49" i="23" s="1"/>
  <c r="Y101" i="23" s="1"/>
  <c r="Z33" i="8"/>
  <c r="Y33" i="23" s="1"/>
  <c r="Y85" i="23" s="1"/>
  <c r="Z7" i="8"/>
  <c r="Y7" i="23" s="1"/>
  <c r="Y59" i="23" s="1"/>
  <c r="Z45" i="8"/>
  <c r="Y45" i="23" s="1"/>
  <c r="Y97" i="23" s="1"/>
  <c r="Z34" i="8"/>
  <c r="Y34" i="23" s="1"/>
  <c r="Y86" i="23" s="1"/>
  <c r="Z14" i="8"/>
  <c r="Y14" i="23" s="1"/>
  <c r="Y66" i="23" s="1"/>
  <c r="Z35" i="8"/>
  <c r="Y35" i="23" s="1"/>
  <c r="Y87" i="23" s="1"/>
  <c r="Z40" i="8"/>
  <c r="Y40" i="23" s="1"/>
  <c r="Y92" i="23" s="1"/>
  <c r="Z25" i="8"/>
  <c r="Y25" i="23" s="1"/>
  <c r="Y77" i="23" s="1"/>
  <c r="Z36" i="8"/>
  <c r="Y36" i="23" s="1"/>
  <c r="Y88" i="23" s="1"/>
  <c r="Z5" i="8"/>
  <c r="Z31" i="8"/>
  <c r="Y31" i="23" s="1"/>
  <c r="Y83" i="23" s="1"/>
  <c r="Z24" i="8"/>
  <c r="Y24" i="23" s="1"/>
  <c r="Y76" i="23" s="1"/>
  <c r="Z21" i="8"/>
  <c r="Y21" i="23" s="1"/>
  <c r="Y73" i="23" s="1"/>
  <c r="Z47" i="8"/>
  <c r="Y47" i="23" s="1"/>
  <c r="Y99" i="23" s="1"/>
  <c r="Z43" i="8"/>
  <c r="Y43" i="23" s="1"/>
  <c r="Y95" i="23" s="1"/>
  <c r="Z27" i="8"/>
  <c r="Y27" i="23" s="1"/>
  <c r="Y79" i="23" s="1"/>
  <c r="Z26" i="8"/>
  <c r="Y26" i="23" s="1"/>
  <c r="Y78" i="23" s="1"/>
  <c r="Z51" i="8"/>
  <c r="Y51" i="23" s="1"/>
  <c r="Y103" i="23" s="1"/>
  <c r="Z28" i="8"/>
  <c r="Y28" i="23" s="1"/>
  <c r="Y80" i="23" s="1"/>
  <c r="Z23" i="8"/>
  <c r="Y23" i="23" s="1"/>
  <c r="Y75" i="23" s="1"/>
  <c r="Z12" i="8"/>
  <c r="Y12" i="23" s="1"/>
  <c r="Y64" i="23" s="1"/>
  <c r="K8" i="25"/>
  <c r="K10" i="25"/>
  <c r="M8" i="25"/>
  <c r="M10" i="25"/>
  <c r="M6" i="25"/>
  <c r="S6" i="25"/>
  <c r="K6" i="25"/>
  <c r="H6" i="26"/>
  <c r="D8" i="26"/>
  <c r="D6" i="26"/>
  <c r="D10" i="26"/>
  <c r="AI40" i="7"/>
  <c r="AI49" i="7"/>
  <c r="AI46" i="7"/>
  <c r="AI5" i="7"/>
  <c r="AI16" i="7"/>
  <c r="AI11" i="7"/>
  <c r="AA49" i="8"/>
  <c r="Z49" i="23" s="1"/>
  <c r="Z101" i="23" s="1"/>
  <c r="AA46" i="8"/>
  <c r="Z46" i="23" s="1"/>
  <c r="Z98" i="23" s="1"/>
  <c r="AA41" i="8"/>
  <c r="Z41" i="23" s="1"/>
  <c r="Z93" i="23" s="1"/>
  <c r="AA5" i="8"/>
  <c r="AA44" i="8"/>
  <c r="Z44" i="23" s="1"/>
  <c r="Z96" i="23" s="1"/>
  <c r="AA50" i="8"/>
  <c r="Z50" i="23" s="1"/>
  <c r="Z102" i="23" s="1"/>
  <c r="AA51" i="8"/>
  <c r="Z51" i="23" s="1"/>
  <c r="Z103" i="23" s="1"/>
  <c r="AA39" i="8"/>
  <c r="Z39" i="23" s="1"/>
  <c r="Z91" i="23" s="1"/>
  <c r="AA34" i="8"/>
  <c r="Z34" i="23" s="1"/>
  <c r="Z86" i="23" s="1"/>
  <c r="AA27" i="8"/>
  <c r="Z27" i="23" s="1"/>
  <c r="Z79" i="23" s="1"/>
  <c r="AA21" i="8"/>
  <c r="Z21" i="23" s="1"/>
  <c r="Z73" i="23" s="1"/>
  <c r="AA32" i="8"/>
  <c r="Z32" i="23" s="1"/>
  <c r="Z84" i="23" s="1"/>
  <c r="AA36" i="8"/>
  <c r="Z36" i="23" s="1"/>
  <c r="Z88" i="23" s="1"/>
  <c r="AA47" i="8"/>
  <c r="Z47" i="23" s="1"/>
  <c r="Z99" i="23" s="1"/>
  <c r="AA17" i="8"/>
  <c r="Z17" i="23" s="1"/>
  <c r="Z69" i="23" s="1"/>
  <c r="AA23" i="8"/>
  <c r="Z23" i="23" s="1"/>
  <c r="Z75" i="23" s="1"/>
  <c r="AA13" i="8"/>
  <c r="Z13" i="23" s="1"/>
  <c r="Z65" i="23" s="1"/>
  <c r="AA19" i="8"/>
  <c r="Z19" i="23" s="1"/>
  <c r="Z71" i="23" s="1"/>
  <c r="AA43" i="8"/>
  <c r="Z43" i="23" s="1"/>
  <c r="Z95" i="23" s="1"/>
  <c r="AA30" i="8"/>
  <c r="Z30" i="23" s="1"/>
  <c r="Z82" i="23" s="1"/>
  <c r="AA31" i="8"/>
  <c r="Z31" i="23" s="1"/>
  <c r="Z83" i="23" s="1"/>
  <c r="AA9" i="8"/>
  <c r="Z9" i="23" s="1"/>
  <c r="Z61" i="23" s="1"/>
  <c r="AA35" i="8"/>
  <c r="Z35" i="23" s="1"/>
  <c r="Z87" i="23" s="1"/>
  <c r="AA7" i="8"/>
  <c r="Z7" i="23" s="1"/>
  <c r="Z59" i="23" s="1"/>
  <c r="AA42" i="8"/>
  <c r="Z42" i="23" s="1"/>
  <c r="Z94" i="23" s="1"/>
  <c r="AA48" i="8"/>
  <c r="Z48" i="23" s="1"/>
  <c r="Z100" i="23" s="1"/>
  <c r="AA25" i="8"/>
  <c r="Z25" i="23" s="1"/>
  <c r="Z77" i="23" s="1"/>
  <c r="AA33" i="8"/>
  <c r="Z33" i="23" s="1"/>
  <c r="Z85" i="23" s="1"/>
  <c r="AA26" i="8"/>
  <c r="Z26" i="23" s="1"/>
  <c r="Z78" i="23" s="1"/>
  <c r="AA18" i="8"/>
  <c r="Z18" i="23" s="1"/>
  <c r="Z70" i="23" s="1"/>
  <c r="AA29" i="8"/>
  <c r="Z29" i="23" s="1"/>
  <c r="Z81" i="23" s="1"/>
  <c r="AA20" i="8"/>
  <c r="Z20" i="23" s="1"/>
  <c r="Z72" i="23" s="1"/>
  <c r="AA10" i="8"/>
  <c r="Z10" i="23" s="1"/>
  <c r="Z62" i="23" s="1"/>
  <c r="AA12" i="8"/>
  <c r="Z12" i="23" s="1"/>
  <c r="Z64" i="23" s="1"/>
  <c r="AA24" i="8"/>
  <c r="Z24" i="23" s="1"/>
  <c r="Z76" i="23" s="1"/>
  <c r="AA11" i="8"/>
  <c r="Z11" i="23" s="1"/>
  <c r="Z63" i="23" s="1"/>
  <c r="AA28" i="8"/>
  <c r="Z28" i="23" s="1"/>
  <c r="Z80" i="23" s="1"/>
  <c r="AA16" i="8"/>
  <c r="Z16" i="23" s="1"/>
  <c r="Z68" i="23" s="1"/>
  <c r="AA6" i="8"/>
  <c r="Z6" i="23" s="1"/>
  <c r="Z58" i="23" s="1"/>
  <c r="AA45" i="8"/>
  <c r="Z45" i="23" s="1"/>
  <c r="Z97" i="23" s="1"/>
  <c r="AA15" i="8"/>
  <c r="Z15" i="23" s="1"/>
  <c r="Z67" i="23" s="1"/>
  <c r="AA40" i="8"/>
  <c r="Z40" i="23" s="1"/>
  <c r="Z92" i="23" s="1"/>
  <c r="AA22" i="8"/>
  <c r="Z22" i="23" s="1"/>
  <c r="Z74" i="23" s="1"/>
  <c r="AA38" i="8"/>
  <c r="Z38" i="23" s="1"/>
  <c r="Z90" i="23" s="1"/>
  <c r="AA14" i="8"/>
  <c r="Z14" i="23" s="1"/>
  <c r="Z66" i="23" s="1"/>
  <c r="AA37" i="8"/>
  <c r="Z37" i="23" s="1"/>
  <c r="Z89" i="23" s="1"/>
  <c r="AA8" i="8"/>
  <c r="Z8" i="23" s="1"/>
  <c r="Z60" i="23" s="1"/>
  <c r="S19" i="7"/>
  <c r="S8" i="7"/>
  <c r="S34" i="7"/>
  <c r="S35" i="7"/>
  <c r="S32" i="7"/>
  <c r="S23" i="7"/>
  <c r="S12" i="7"/>
  <c r="S18" i="7"/>
  <c r="S21" i="7"/>
  <c r="S28" i="7"/>
  <c r="S39" i="7"/>
  <c r="S29" i="7"/>
  <c r="S13" i="7"/>
  <c r="S6" i="7"/>
  <c r="S42" i="7"/>
  <c r="S40" i="7"/>
  <c r="S46" i="7"/>
  <c r="S48" i="7"/>
  <c r="S20" i="7"/>
  <c r="S17" i="7"/>
  <c r="S50" i="7"/>
  <c r="S22" i="7"/>
  <c r="S14" i="7"/>
  <c r="S31" i="7"/>
  <c r="S16" i="7"/>
  <c r="S30" i="7"/>
  <c r="S15" i="7"/>
  <c r="S9" i="7"/>
  <c r="S36" i="7"/>
  <c r="S43" i="7"/>
  <c r="S37" i="7"/>
  <c r="S25" i="7"/>
  <c r="S33" i="7"/>
  <c r="S38" i="7"/>
  <c r="S44" i="7"/>
  <c r="S41" i="7"/>
  <c r="S10" i="7"/>
  <c r="S47" i="7"/>
  <c r="S51" i="7"/>
  <c r="S45" i="7"/>
  <c r="S5" i="7"/>
  <c r="S11" i="7"/>
  <c r="S27" i="7"/>
  <c r="S24" i="7"/>
  <c r="S49" i="7"/>
  <c r="S26" i="7"/>
  <c r="S7" i="7"/>
  <c r="U48" i="7"/>
  <c r="U48" i="9" s="1"/>
  <c r="U23" i="7"/>
  <c r="U23" i="9" s="1"/>
  <c r="U33" i="7"/>
  <c r="U33" i="9" s="1"/>
  <c r="U40" i="7"/>
  <c r="U43" i="7"/>
  <c r="U47" i="7"/>
  <c r="U47" i="9" s="1"/>
  <c r="U51" i="7"/>
  <c r="U51" i="9" s="1"/>
  <c r="U16" i="7"/>
  <c r="U16" i="9" s="1"/>
  <c r="U29" i="7"/>
  <c r="U29" i="9" s="1"/>
  <c r="U36" i="7"/>
  <c r="U8" i="7"/>
  <c r="U14" i="7"/>
  <c r="U14" i="9" s="1"/>
  <c r="U42" i="7"/>
  <c r="U12" i="7"/>
  <c r="U25" i="7"/>
  <c r="U27" i="7"/>
  <c r="U7" i="7"/>
  <c r="U7" i="9" s="1"/>
  <c r="U10" i="7"/>
  <c r="U10" i="9" s="1"/>
  <c r="U38" i="7"/>
  <c r="U22" i="7"/>
  <c r="U22" i="9" s="1"/>
  <c r="U9" i="7"/>
  <c r="U9" i="9" s="1"/>
  <c r="U28" i="7"/>
  <c r="U28" i="9" s="1"/>
  <c r="U34" i="7"/>
  <c r="U34" i="9" s="1"/>
  <c r="U15" i="7"/>
  <c r="U15" i="9" s="1"/>
  <c r="U13" i="7"/>
  <c r="U13" i="9" s="1"/>
  <c r="U5" i="7"/>
  <c r="U30" i="7"/>
  <c r="U30" i="9" s="1"/>
  <c r="U18" i="7"/>
  <c r="U31" i="7"/>
  <c r="U31" i="9" s="1"/>
  <c r="U45" i="7"/>
  <c r="U26" i="7"/>
  <c r="U26" i="9" s="1"/>
  <c r="U11" i="7"/>
  <c r="U24" i="7"/>
  <c r="U24" i="9" s="1"/>
  <c r="U32" i="7"/>
  <c r="U32" i="9" s="1"/>
  <c r="U19" i="7"/>
  <c r="U44" i="7"/>
  <c r="U44" i="9" s="1"/>
  <c r="U39" i="7"/>
  <c r="U49" i="7"/>
  <c r="U49" i="9" s="1"/>
  <c r="U17" i="7"/>
  <c r="U17" i="9" s="1"/>
  <c r="U50" i="7"/>
  <c r="U50" i="9" s="1"/>
  <c r="U41" i="7"/>
  <c r="U41" i="9" s="1"/>
  <c r="U21" i="7"/>
  <c r="U21" i="9" s="1"/>
  <c r="U6" i="7"/>
  <c r="U6" i="9" s="1"/>
  <c r="U20" i="7"/>
  <c r="U37" i="7"/>
  <c r="U37" i="9" s="1"/>
  <c r="U46" i="7"/>
  <c r="U35" i="7"/>
  <c r="U35" i="9" s="1"/>
  <c r="N6" i="25"/>
  <c r="N10" i="25"/>
  <c r="N8" i="25"/>
  <c r="B8" i="25"/>
  <c r="B6" i="25"/>
  <c r="B10" i="25"/>
  <c r="J8" i="26"/>
  <c r="J10" i="26"/>
  <c r="J6" i="26"/>
  <c r="AI32" i="7"/>
  <c r="AI51" i="7"/>
  <c r="AI33" i="7"/>
  <c r="AI9" i="7"/>
  <c r="AI19" i="7"/>
  <c r="AI18" i="7"/>
  <c r="Q13" i="7"/>
  <c r="Q13" i="9" s="1"/>
  <c r="Q15" i="7"/>
  <c r="Q15" i="9" s="1"/>
  <c r="Q25" i="7"/>
  <c r="Q25" i="9" s="1"/>
  <c r="Q36" i="7"/>
  <c r="Q36" i="9" s="1"/>
  <c r="Q39" i="7"/>
  <c r="Q39" i="9" s="1"/>
  <c r="Q32" i="7"/>
  <c r="Q32" i="9" s="1"/>
  <c r="Q27" i="7"/>
  <c r="Q27" i="9" s="1"/>
  <c r="Q6" i="7"/>
  <c r="Q6" i="9" s="1"/>
  <c r="Q18" i="7"/>
  <c r="Q18" i="9" s="1"/>
  <c r="Q45" i="7"/>
  <c r="Q45" i="9" s="1"/>
  <c r="Q41" i="7"/>
  <c r="Q41" i="9" s="1"/>
  <c r="Q17" i="7"/>
  <c r="Q17" i="9" s="1"/>
  <c r="Q26" i="7"/>
  <c r="Q26" i="9" s="1"/>
  <c r="Q9" i="7"/>
  <c r="Q9" i="9" s="1"/>
  <c r="Q42" i="7"/>
  <c r="Q42" i="9" s="1"/>
  <c r="Q19" i="7"/>
  <c r="Q19" i="9" s="1"/>
  <c r="Q49" i="7"/>
  <c r="Q49" i="9" s="1"/>
  <c r="Q31" i="7"/>
  <c r="Q31" i="9" s="1"/>
  <c r="Q29" i="7"/>
  <c r="Q29" i="9" s="1"/>
  <c r="Q37" i="7"/>
  <c r="Q37" i="9" s="1"/>
  <c r="Q51" i="7"/>
  <c r="Q48" i="7"/>
  <c r="Q48" i="9" s="1"/>
  <c r="Q22" i="7"/>
  <c r="Q12" i="7"/>
  <c r="Q12" i="9" s="1"/>
  <c r="Q28" i="7"/>
  <c r="Q28" i="9" s="1"/>
  <c r="Q10" i="7"/>
  <c r="Q50" i="7"/>
  <c r="Q50" i="9" s="1"/>
  <c r="Q47" i="7"/>
  <c r="Q47" i="9" s="1"/>
  <c r="Q16" i="7"/>
  <c r="Q16" i="9" s="1"/>
  <c r="Q11" i="7"/>
  <c r="Q24" i="7"/>
  <c r="Q24" i="9" s="1"/>
  <c r="Q5" i="7"/>
  <c r="Q44" i="7"/>
  <c r="Q20" i="7"/>
  <c r="Q20" i="9" s="1"/>
  <c r="Q43" i="7"/>
  <c r="Q43" i="9" s="1"/>
  <c r="Q23" i="7"/>
  <c r="Q8" i="7"/>
  <c r="Q8" i="9" s="1"/>
  <c r="Q30" i="7"/>
  <c r="Q46" i="7"/>
  <c r="Q46" i="9" s="1"/>
  <c r="Q33" i="7"/>
  <c r="Q33" i="9" s="1"/>
  <c r="Q21" i="7"/>
  <c r="Q21" i="9" s="1"/>
  <c r="Q7" i="7"/>
  <c r="Q35" i="7"/>
  <c r="Q35" i="9" s="1"/>
  <c r="Q40" i="7"/>
  <c r="Q34" i="7"/>
  <c r="Q38" i="7"/>
  <c r="Q14" i="7"/>
  <c r="Q14" i="9" s="1"/>
  <c r="T47" i="11"/>
  <c r="T47" i="12"/>
  <c r="M47" i="11"/>
  <c r="M47" i="12"/>
  <c r="Q6" i="25"/>
  <c r="Q8" i="25"/>
  <c r="Q10" i="25"/>
  <c r="J10" i="25"/>
  <c r="J6" i="25"/>
  <c r="P6" i="25"/>
  <c r="P10" i="25"/>
  <c r="P8" i="25"/>
  <c r="B8" i="26"/>
  <c r="B10" i="26"/>
  <c r="B6" i="26"/>
  <c r="AH26" i="7"/>
  <c r="AH26" i="9" s="1"/>
  <c r="AH12" i="7"/>
  <c r="AH12" i="9" s="1"/>
  <c r="AH31" i="7"/>
  <c r="AH31" i="9" s="1"/>
  <c r="AH21" i="7"/>
  <c r="AH21" i="9" s="1"/>
  <c r="AH51" i="7"/>
  <c r="AH51" i="9" s="1"/>
  <c r="AH49" i="7"/>
  <c r="AH49" i="9" s="1"/>
  <c r="AH19" i="7"/>
  <c r="AH19" i="9" s="1"/>
  <c r="AH20" i="7"/>
  <c r="AH20" i="9" s="1"/>
  <c r="AH9" i="7"/>
  <c r="AH9" i="9" s="1"/>
  <c r="AH22" i="7"/>
  <c r="AH22" i="9" s="1"/>
  <c r="AH36" i="7"/>
  <c r="AH36" i="9" s="1"/>
  <c r="AH50" i="7"/>
  <c r="AH50" i="9" s="1"/>
  <c r="AH25" i="7"/>
  <c r="AH25" i="9" s="1"/>
  <c r="AH13" i="7"/>
  <c r="AH13" i="9" s="1"/>
  <c r="AH10" i="7"/>
  <c r="AH10" i="9" s="1"/>
  <c r="AH46" i="7"/>
  <c r="AH46" i="9" s="1"/>
  <c r="AH42" i="7"/>
  <c r="AH42" i="9" s="1"/>
  <c r="AH43" i="7"/>
  <c r="AH43" i="9" s="1"/>
  <c r="AH18" i="7"/>
  <c r="AH18" i="9" s="1"/>
  <c r="AH7" i="7"/>
  <c r="AH7" i="9" s="1"/>
  <c r="AH8" i="7"/>
  <c r="AH8" i="9" s="1"/>
  <c r="AH47" i="7"/>
  <c r="AH47" i="9" s="1"/>
  <c r="AH44" i="7"/>
  <c r="AH44" i="9" s="1"/>
  <c r="AH48" i="7"/>
  <c r="AH48" i="9" s="1"/>
  <c r="AH16" i="7"/>
  <c r="AH16" i="9" s="1"/>
  <c r="AH23" i="7"/>
  <c r="AH23" i="9" s="1"/>
  <c r="AH30" i="7"/>
  <c r="AH30" i="9" s="1"/>
  <c r="AH27" i="7"/>
  <c r="AH24" i="7"/>
  <c r="AH24" i="9" s="1"/>
  <c r="AH40" i="7"/>
  <c r="AH40" i="9" s="1"/>
  <c r="AH11" i="7"/>
  <c r="AH11" i="9" s="1"/>
  <c r="AH33" i="7"/>
  <c r="AH33" i="9" s="1"/>
  <c r="AH45" i="7"/>
  <c r="AH45" i="9" s="1"/>
  <c r="AH17" i="7"/>
  <c r="AH17" i="9" s="1"/>
  <c r="AH6" i="7"/>
  <c r="AH6" i="9" s="1"/>
  <c r="AH34" i="7"/>
  <c r="AH34" i="9" s="1"/>
  <c r="AH29" i="7"/>
  <c r="AH29" i="9" s="1"/>
  <c r="AH5" i="7"/>
  <c r="AH37" i="7"/>
  <c r="AH37" i="9" s="1"/>
  <c r="AH15" i="7"/>
  <c r="AH15" i="9" s="1"/>
  <c r="AH41" i="7"/>
  <c r="AH41" i="9" s="1"/>
  <c r="AH28" i="7"/>
  <c r="AH28" i="9" s="1"/>
  <c r="AH38" i="7"/>
  <c r="AH38" i="9" s="1"/>
  <c r="AH35" i="7"/>
  <c r="AH35" i="9" s="1"/>
  <c r="AH14" i="7"/>
  <c r="AH14" i="9" s="1"/>
  <c r="AH39" i="7"/>
  <c r="AH39" i="9" s="1"/>
  <c r="AH32" i="7"/>
  <c r="AH32" i="9" s="1"/>
  <c r="Y56" i="6"/>
  <c r="V60" i="6"/>
  <c r="V56" i="6"/>
  <c r="N47" i="12"/>
  <c r="N47" i="11"/>
  <c r="T48" i="10"/>
  <c r="O10" i="25"/>
  <c r="O8" i="25"/>
  <c r="F8" i="25"/>
  <c r="F6" i="25"/>
  <c r="F10" i="25"/>
  <c r="U8" i="25"/>
  <c r="U10" i="25"/>
  <c r="U6" i="25"/>
  <c r="M55" i="6"/>
  <c r="M60" i="6" s="1"/>
  <c r="E8" i="26"/>
  <c r="E10" i="26"/>
  <c r="E6" i="26"/>
  <c r="L15" i="7"/>
  <c r="L13" i="7"/>
  <c r="L31" i="7"/>
  <c r="L44" i="7"/>
  <c r="L51" i="7"/>
  <c r="L40" i="7"/>
  <c r="L21" i="7"/>
  <c r="L21" i="9" s="1"/>
  <c r="L24" i="7"/>
  <c r="L24" i="9" s="1"/>
  <c r="L30" i="7"/>
  <c r="L30" i="9" s="1"/>
  <c r="L20" i="7"/>
  <c r="L18" i="7"/>
  <c r="L45" i="7"/>
  <c r="L45" i="9" s="1"/>
  <c r="L23" i="7"/>
  <c r="L39" i="7"/>
  <c r="L37" i="7"/>
  <c r="L34" i="7"/>
  <c r="L35" i="7"/>
  <c r="L14" i="7"/>
  <c r="L11" i="7"/>
  <c r="L33" i="7"/>
  <c r="L43" i="7"/>
  <c r="L28" i="7"/>
  <c r="L46" i="7"/>
  <c r="L41" i="7"/>
  <c r="L5" i="7"/>
  <c r="L10" i="7"/>
  <c r="L16" i="7"/>
  <c r="L47" i="7"/>
  <c r="L25" i="7"/>
  <c r="L49" i="7"/>
  <c r="L7" i="7"/>
  <c r="L8" i="7"/>
  <c r="L36" i="7"/>
  <c r="L48" i="7"/>
  <c r="L19" i="7"/>
  <c r="L27" i="7"/>
  <c r="L27" i="9" s="1"/>
  <c r="L38" i="7"/>
  <c r="L42" i="7"/>
  <c r="L26" i="7"/>
  <c r="L29" i="7"/>
  <c r="L6" i="7"/>
  <c r="L17" i="7"/>
  <c r="L32" i="7"/>
  <c r="L12" i="7"/>
  <c r="L50" i="7"/>
  <c r="L22" i="7"/>
  <c r="L9" i="7"/>
  <c r="O33" i="7"/>
  <c r="O33" i="9" s="1"/>
  <c r="O13" i="7"/>
  <c r="O13" i="9" s="1"/>
  <c r="O9" i="7"/>
  <c r="O9" i="9" s="1"/>
  <c r="O36" i="7"/>
  <c r="O36" i="9" s="1"/>
  <c r="O45" i="7"/>
  <c r="O45" i="9" s="1"/>
  <c r="O42" i="7"/>
  <c r="O42" i="9" s="1"/>
  <c r="O20" i="7"/>
  <c r="O20" i="9" s="1"/>
  <c r="O29" i="7"/>
  <c r="O29" i="9" s="1"/>
  <c r="O39" i="7"/>
  <c r="O39" i="9" s="1"/>
  <c r="O5" i="7"/>
  <c r="O41" i="7"/>
  <c r="O41" i="9" s="1"/>
  <c r="O26" i="7"/>
  <c r="O26" i="9" s="1"/>
  <c r="O15" i="7"/>
  <c r="O15" i="9" s="1"/>
  <c r="O46" i="7"/>
  <c r="O46" i="9" s="1"/>
  <c r="O40" i="7"/>
  <c r="O40" i="9" s="1"/>
  <c r="O31" i="7"/>
  <c r="O31" i="9" s="1"/>
  <c r="O27" i="7"/>
  <c r="O27" i="9" s="1"/>
  <c r="O25" i="7"/>
  <c r="O25" i="9" s="1"/>
  <c r="O7" i="7"/>
  <c r="O7" i="9" s="1"/>
  <c r="O8" i="7"/>
  <c r="O8" i="9" s="1"/>
  <c r="O48" i="7"/>
  <c r="O48" i="9" s="1"/>
  <c r="O21" i="7"/>
  <c r="O21" i="9" s="1"/>
  <c r="O28" i="7"/>
  <c r="O28" i="9" s="1"/>
  <c r="O18" i="7"/>
  <c r="O18" i="9" s="1"/>
  <c r="O16" i="7"/>
  <c r="O16" i="9" s="1"/>
  <c r="O19" i="7"/>
  <c r="O19" i="9" s="1"/>
  <c r="O43" i="7"/>
  <c r="O43" i="9" s="1"/>
  <c r="O24" i="7"/>
  <c r="O24" i="9" s="1"/>
  <c r="O14" i="7"/>
  <c r="O14" i="9" s="1"/>
  <c r="O12" i="7"/>
  <c r="O12" i="9" s="1"/>
  <c r="O50" i="7"/>
  <c r="O50" i="9" s="1"/>
  <c r="O37" i="7"/>
  <c r="O37" i="9" s="1"/>
  <c r="O23" i="7"/>
  <c r="O23" i="9" s="1"/>
  <c r="O32" i="7"/>
  <c r="O32" i="9" s="1"/>
  <c r="O47" i="7"/>
  <c r="O47" i="9" s="1"/>
  <c r="O49" i="7"/>
  <c r="O49" i="9" s="1"/>
  <c r="O38" i="7"/>
  <c r="O38" i="9" s="1"/>
  <c r="O17" i="7"/>
  <c r="O17" i="9" s="1"/>
  <c r="O34" i="7"/>
  <c r="O34" i="9" s="1"/>
  <c r="O22" i="7"/>
  <c r="O22" i="9" s="1"/>
  <c r="O35" i="7"/>
  <c r="O35" i="9" s="1"/>
  <c r="O44" i="7"/>
  <c r="O44" i="9" s="1"/>
  <c r="O51" i="7"/>
  <c r="O51" i="9" s="1"/>
  <c r="O11" i="7"/>
  <c r="O11" i="9" s="1"/>
  <c r="O6" i="7"/>
  <c r="O6" i="9" s="1"/>
  <c r="O10" i="7"/>
  <c r="O10" i="9" s="1"/>
  <c r="O30" i="7"/>
  <c r="O30" i="9" s="1"/>
  <c r="R30" i="11"/>
  <c r="R14" i="11"/>
  <c r="R6" i="11"/>
  <c r="R19" i="11"/>
  <c r="R41" i="11"/>
  <c r="R17" i="11"/>
  <c r="R13" i="11"/>
  <c r="R15" i="11"/>
  <c r="R39" i="11"/>
  <c r="R12" i="11"/>
  <c r="R38" i="11"/>
  <c r="R7" i="11"/>
  <c r="R35" i="11"/>
  <c r="R22" i="11"/>
  <c r="R11" i="11"/>
  <c r="R5" i="11"/>
  <c r="R8" i="11"/>
  <c r="R33" i="11"/>
  <c r="R24" i="11"/>
  <c r="R29" i="11"/>
  <c r="R16" i="11"/>
  <c r="R9" i="11"/>
  <c r="R26" i="11"/>
  <c r="R25" i="11"/>
  <c r="R34" i="11"/>
  <c r="R32" i="11"/>
  <c r="R21" i="11"/>
  <c r="R23" i="11"/>
  <c r="R37" i="11"/>
  <c r="R27" i="11"/>
  <c r="R36" i="11"/>
  <c r="R31" i="11"/>
  <c r="R20" i="11"/>
  <c r="R40" i="11"/>
  <c r="R28" i="11"/>
  <c r="R10" i="11"/>
  <c r="R18" i="11"/>
  <c r="C10" i="25"/>
  <c r="C8" i="25"/>
  <c r="C6" i="25"/>
  <c r="I8" i="25"/>
  <c r="I6" i="25"/>
  <c r="I10" i="25"/>
  <c r="K8" i="26"/>
  <c r="K6" i="26"/>
  <c r="K10" i="26"/>
  <c r="F8" i="26"/>
  <c r="F6" i="26"/>
  <c r="F10" i="26"/>
  <c r="AI45" i="7"/>
  <c r="AI24" i="7"/>
  <c r="AI42" i="7"/>
  <c r="AI12" i="7"/>
  <c r="AI10" i="7"/>
  <c r="AI29" i="7"/>
  <c r="P32" i="7"/>
  <c r="P32" i="9" s="1"/>
  <c r="P27" i="7"/>
  <c r="P27" i="9" s="1"/>
  <c r="P15" i="7"/>
  <c r="P15" i="9" s="1"/>
  <c r="P8" i="7"/>
  <c r="P8" i="9" s="1"/>
  <c r="P44" i="7"/>
  <c r="P44" i="9" s="1"/>
  <c r="P33" i="7"/>
  <c r="P33" i="9" s="1"/>
  <c r="P20" i="7"/>
  <c r="P20" i="9" s="1"/>
  <c r="P6" i="7"/>
  <c r="P6" i="9" s="1"/>
  <c r="P19" i="7"/>
  <c r="P19" i="9" s="1"/>
  <c r="P30" i="7"/>
  <c r="P30" i="9" s="1"/>
  <c r="P48" i="7"/>
  <c r="P48" i="9" s="1"/>
  <c r="P28" i="7"/>
  <c r="P28" i="9" s="1"/>
  <c r="P18" i="7"/>
  <c r="P18" i="9" s="1"/>
  <c r="P10" i="7"/>
  <c r="P10" i="9" s="1"/>
  <c r="P35" i="7"/>
  <c r="P35" i="9" s="1"/>
  <c r="P49" i="7"/>
  <c r="P49" i="9" s="1"/>
  <c r="P31" i="7"/>
  <c r="P31" i="9" s="1"/>
  <c r="P25" i="7"/>
  <c r="P25" i="9" s="1"/>
  <c r="P45" i="7"/>
  <c r="P45" i="9" s="1"/>
  <c r="P37" i="7"/>
  <c r="P37" i="9" s="1"/>
  <c r="P11" i="7"/>
  <c r="P11" i="9" s="1"/>
  <c r="P26" i="7"/>
  <c r="P26" i="9" s="1"/>
  <c r="P46" i="7"/>
  <c r="P46" i="9" s="1"/>
  <c r="P21" i="7"/>
  <c r="P21" i="9" s="1"/>
  <c r="P16" i="7"/>
  <c r="P16" i="9" s="1"/>
  <c r="P7" i="7"/>
  <c r="P7" i="9" s="1"/>
  <c r="P39" i="7"/>
  <c r="P39" i="9" s="1"/>
  <c r="P12" i="7"/>
  <c r="P12" i="9" s="1"/>
  <c r="P14" i="7"/>
  <c r="P14" i="9" s="1"/>
  <c r="P29" i="7"/>
  <c r="P29" i="9" s="1"/>
  <c r="P36" i="7"/>
  <c r="P36" i="9" s="1"/>
  <c r="P40" i="7"/>
  <c r="P40" i="9" s="1"/>
  <c r="P43" i="7"/>
  <c r="P43" i="9" s="1"/>
  <c r="P17" i="7"/>
  <c r="P17" i="9" s="1"/>
  <c r="P22" i="7"/>
  <c r="P22" i="9" s="1"/>
  <c r="P50" i="7"/>
  <c r="P50" i="9" s="1"/>
  <c r="P42" i="7"/>
  <c r="P42" i="9" s="1"/>
  <c r="P24" i="7"/>
  <c r="P24" i="9" s="1"/>
  <c r="P38" i="7"/>
  <c r="P38" i="9" s="1"/>
  <c r="P13" i="7"/>
  <c r="P13" i="9" s="1"/>
  <c r="P9" i="7"/>
  <c r="P9" i="9" s="1"/>
  <c r="P41" i="7"/>
  <c r="P41" i="9" s="1"/>
  <c r="P47" i="7"/>
  <c r="P47" i="9" s="1"/>
  <c r="P5" i="7"/>
  <c r="P23" i="7"/>
  <c r="P23" i="9" s="1"/>
  <c r="P51" i="7"/>
  <c r="P51" i="9" s="1"/>
  <c r="P34" i="7"/>
  <c r="P34" i="9" s="1"/>
  <c r="O47" i="12"/>
  <c r="O47" i="11"/>
  <c r="O48" i="10"/>
  <c r="W10" i="25"/>
  <c r="W8" i="25"/>
  <c r="W6" i="25"/>
  <c r="E8" i="25"/>
  <c r="E10" i="25"/>
  <c r="E6" i="25"/>
  <c r="G6" i="25"/>
  <c r="G10" i="25"/>
  <c r="G8" i="25"/>
  <c r="S8" i="25"/>
  <c r="L8" i="26"/>
  <c r="L10" i="26"/>
  <c r="L6" i="26"/>
  <c r="I8" i="26"/>
  <c r="I6" i="26"/>
  <c r="AI37" i="7"/>
  <c r="AI22" i="7"/>
  <c r="AI34" i="7"/>
  <c r="AI7" i="7"/>
  <c r="W41" i="7"/>
  <c r="W41" i="9" s="1"/>
  <c r="W11" i="7"/>
  <c r="W17" i="7"/>
  <c r="W50" i="7"/>
  <c r="W38" i="7"/>
  <c r="W38" i="9" s="1"/>
  <c r="W13" i="7"/>
  <c r="W37" i="7"/>
  <c r="W37" i="9" s="1"/>
  <c r="W44" i="7"/>
  <c r="W44" i="9" s="1"/>
  <c r="W10" i="7"/>
  <c r="W10" i="9" s="1"/>
  <c r="W26" i="7"/>
  <c r="W6" i="7"/>
  <c r="W6" i="9" s="1"/>
  <c r="W16" i="7"/>
  <c r="W33" i="7"/>
  <c r="W33" i="9" s="1"/>
  <c r="W48" i="7"/>
  <c r="W48" i="9" s="1"/>
  <c r="W22" i="7"/>
  <c r="W22" i="9" s="1"/>
  <c r="W32" i="7"/>
  <c r="W32" i="9" s="1"/>
  <c r="W39" i="7"/>
  <c r="W39" i="9" s="1"/>
  <c r="W42" i="7"/>
  <c r="W42" i="9" s="1"/>
  <c r="W9" i="7"/>
  <c r="W9" i="9" s="1"/>
  <c r="W51" i="7"/>
  <c r="W51" i="9" s="1"/>
  <c r="W15" i="7"/>
  <c r="W15" i="9" s="1"/>
  <c r="W21" i="7"/>
  <c r="W21" i="9" s="1"/>
  <c r="W35" i="7"/>
  <c r="W35" i="9" s="1"/>
  <c r="W30" i="7"/>
  <c r="W30" i="9" s="1"/>
  <c r="W5" i="7"/>
  <c r="W14" i="7"/>
  <c r="W14" i="9" s="1"/>
  <c r="W7" i="7"/>
  <c r="W7" i="9" s="1"/>
  <c r="W49" i="7"/>
  <c r="W49" i="9" s="1"/>
  <c r="W28" i="7"/>
  <c r="W28" i="9" s="1"/>
  <c r="W23" i="7"/>
  <c r="W23" i="9" s="1"/>
  <c r="W45" i="7"/>
  <c r="W45" i="9" s="1"/>
  <c r="W47" i="7"/>
  <c r="W47" i="9" s="1"/>
  <c r="W46" i="7"/>
  <c r="W46" i="9" s="1"/>
  <c r="W24" i="7"/>
  <c r="W24" i="9" s="1"/>
  <c r="W29" i="7"/>
  <c r="W29" i="9" s="1"/>
  <c r="W43" i="7"/>
  <c r="W43" i="9" s="1"/>
  <c r="W20" i="7"/>
  <c r="W20" i="9" s="1"/>
  <c r="W25" i="7"/>
  <c r="W25" i="9" s="1"/>
  <c r="W31" i="7"/>
  <c r="W31" i="9" s="1"/>
  <c r="W34" i="7"/>
  <c r="W34" i="9" s="1"/>
  <c r="W18" i="7"/>
  <c r="W18" i="9" s="1"/>
  <c r="W27" i="7"/>
  <c r="W27" i="9" s="1"/>
  <c r="W40" i="7"/>
  <c r="W40" i="9" s="1"/>
  <c r="W19" i="7"/>
  <c r="W19" i="9" s="1"/>
  <c r="W8" i="7"/>
  <c r="W8" i="9" s="1"/>
  <c r="W36" i="7"/>
  <c r="W36" i="9" s="1"/>
  <c r="W12" i="7"/>
  <c r="W12" i="9" s="1"/>
  <c r="AC27" i="7"/>
  <c r="AC25" i="7"/>
  <c r="AC14" i="7"/>
  <c r="AC45" i="7"/>
  <c r="AC42" i="7"/>
  <c r="AC38" i="7"/>
  <c r="AC20" i="7"/>
  <c r="AC13" i="7"/>
  <c r="AC28" i="7"/>
  <c r="AC46" i="7"/>
  <c r="AC41" i="7"/>
  <c r="AC39" i="7"/>
  <c r="AC19" i="7"/>
  <c r="AC18" i="7"/>
  <c r="AC11" i="7"/>
  <c r="AC34" i="7"/>
  <c r="AC35" i="7"/>
  <c r="AC30" i="7"/>
  <c r="AC16" i="7"/>
  <c r="AC10" i="7"/>
  <c r="AC36" i="7"/>
  <c r="AC37" i="7"/>
  <c r="AC26" i="7"/>
  <c r="AC8" i="7"/>
  <c r="AC51" i="7"/>
  <c r="AC49" i="7"/>
  <c r="AC44" i="7"/>
  <c r="AC12" i="7"/>
  <c r="AC7" i="7"/>
  <c r="AC33" i="7"/>
  <c r="AC31" i="7"/>
  <c r="AC9" i="7"/>
  <c r="AC29" i="7"/>
  <c r="AC48" i="7"/>
  <c r="AC21" i="7"/>
  <c r="AC22" i="7"/>
  <c r="AC43" i="7"/>
  <c r="AC15" i="7"/>
  <c r="AC6" i="7"/>
  <c r="AC50" i="7"/>
  <c r="AC24" i="7"/>
  <c r="AC5" i="7"/>
  <c r="AC23" i="7"/>
  <c r="AC32" i="7"/>
  <c r="AC17" i="7"/>
  <c r="AC47" i="7"/>
  <c r="AC40" i="7"/>
  <c r="M28" i="11"/>
  <c r="M9" i="11"/>
  <c r="M29" i="11"/>
  <c r="M25" i="11"/>
  <c r="M12" i="11"/>
  <c r="M19" i="11"/>
  <c r="M5" i="11"/>
  <c r="M11" i="11"/>
  <c r="M27" i="11"/>
  <c r="M26" i="11"/>
  <c r="M14" i="11"/>
  <c r="M10" i="11"/>
  <c r="M37" i="11"/>
  <c r="M35" i="11"/>
  <c r="M38" i="11"/>
  <c r="M20" i="11"/>
  <c r="M6" i="11"/>
  <c r="M32" i="11"/>
  <c r="M31" i="11"/>
  <c r="M24" i="11"/>
  <c r="M15" i="11"/>
  <c r="M13" i="11"/>
  <c r="M41" i="11"/>
  <c r="M23" i="11"/>
  <c r="M34" i="11"/>
  <c r="M40" i="11"/>
  <c r="M21" i="11"/>
  <c r="M33" i="11"/>
  <c r="M7" i="11"/>
  <c r="M18" i="11"/>
  <c r="M36" i="11"/>
  <c r="M16" i="11"/>
  <c r="M30" i="11"/>
  <c r="M22" i="11"/>
  <c r="M39" i="11"/>
  <c r="M8" i="11"/>
  <c r="M17" i="11"/>
  <c r="U47" i="12"/>
  <c r="U47" i="11"/>
  <c r="V47" i="12"/>
  <c r="V47" i="11"/>
  <c r="D8" i="25"/>
  <c r="D10" i="25"/>
  <c r="D6" i="25"/>
  <c r="R10" i="25"/>
  <c r="R6" i="25"/>
  <c r="L8" i="25"/>
  <c r="L10" i="25"/>
  <c r="L6" i="25"/>
  <c r="C8" i="26"/>
  <c r="C10" i="26"/>
  <c r="C6" i="26"/>
  <c r="H8" i="26"/>
  <c r="H10" i="26"/>
  <c r="R20" i="7"/>
  <c r="R20" i="9" s="1"/>
  <c r="R28" i="7"/>
  <c r="R28" i="9" s="1"/>
  <c r="R8" i="7"/>
  <c r="R8" i="9" s="1"/>
  <c r="R32" i="7"/>
  <c r="R32" i="9" s="1"/>
  <c r="R50" i="7"/>
  <c r="R50" i="9" s="1"/>
  <c r="R46" i="7"/>
  <c r="R46" i="9" s="1"/>
  <c r="R23" i="7"/>
  <c r="R23" i="9" s="1"/>
  <c r="R17" i="7"/>
  <c r="R17" i="9" s="1"/>
  <c r="R25" i="7"/>
  <c r="R25" i="9" s="1"/>
  <c r="R37" i="7"/>
  <c r="R37" i="9" s="1"/>
  <c r="R51" i="7"/>
  <c r="R51" i="9" s="1"/>
  <c r="R39" i="7"/>
  <c r="R39" i="9" s="1"/>
  <c r="R19" i="7"/>
  <c r="R19" i="9" s="1"/>
  <c r="R14" i="7"/>
  <c r="R14" i="9" s="1"/>
  <c r="R40" i="7"/>
  <c r="R40" i="9" s="1"/>
  <c r="R35" i="7"/>
  <c r="R35" i="9" s="1"/>
  <c r="R36" i="7"/>
  <c r="R36" i="9" s="1"/>
  <c r="R24" i="7"/>
  <c r="R24" i="9" s="1"/>
  <c r="R12" i="7"/>
  <c r="R12" i="9" s="1"/>
  <c r="R9" i="7"/>
  <c r="R9" i="9" s="1"/>
  <c r="R15" i="7"/>
  <c r="R15" i="9" s="1"/>
  <c r="R42" i="7"/>
  <c r="R42" i="9" s="1"/>
  <c r="R41" i="7"/>
  <c r="R41" i="9" s="1"/>
  <c r="R13" i="7"/>
  <c r="R13" i="9" s="1"/>
  <c r="R5" i="7"/>
  <c r="R43" i="7"/>
  <c r="R43" i="9" s="1"/>
  <c r="R27" i="7"/>
  <c r="R27" i="9" s="1"/>
  <c r="R11" i="7"/>
  <c r="R11" i="9" s="1"/>
  <c r="R38" i="7"/>
  <c r="R38" i="9" s="1"/>
  <c r="R16" i="7"/>
  <c r="R16" i="9" s="1"/>
  <c r="R18" i="7"/>
  <c r="R18" i="9" s="1"/>
  <c r="R30" i="7"/>
  <c r="R30" i="9" s="1"/>
  <c r="R33" i="7"/>
  <c r="R33" i="9" s="1"/>
  <c r="R26" i="7"/>
  <c r="R26" i="9" s="1"/>
  <c r="R7" i="7"/>
  <c r="R7" i="9" s="1"/>
  <c r="R31" i="7"/>
  <c r="R31" i="9" s="1"/>
  <c r="R22" i="7"/>
  <c r="R22" i="9" s="1"/>
  <c r="R29" i="7"/>
  <c r="R29" i="9" s="1"/>
  <c r="R6" i="7"/>
  <c r="R6" i="9" s="1"/>
  <c r="R45" i="7"/>
  <c r="R45" i="9" s="1"/>
  <c r="R44" i="7"/>
  <c r="R44" i="9" s="1"/>
  <c r="R10" i="7"/>
  <c r="R10" i="9" s="1"/>
  <c r="R49" i="7"/>
  <c r="R49" i="9" s="1"/>
  <c r="R47" i="7"/>
  <c r="R47" i="9" s="1"/>
  <c r="R21" i="7"/>
  <c r="R21" i="9" s="1"/>
  <c r="R34" i="7"/>
  <c r="R34" i="9" s="1"/>
  <c r="R48" i="7"/>
  <c r="R48" i="9" s="1"/>
  <c r="X18" i="7"/>
  <c r="X28" i="7"/>
  <c r="X13" i="7"/>
  <c r="X22" i="7"/>
  <c r="X6" i="7"/>
  <c r="X16" i="7"/>
  <c r="X11" i="7"/>
  <c r="X11" i="9" s="1"/>
  <c r="X17" i="7"/>
  <c r="X27" i="7"/>
  <c r="X15" i="7"/>
  <c r="X46" i="7"/>
  <c r="X46" i="9" s="1"/>
  <c r="X8" i="7"/>
  <c r="X49" i="7"/>
  <c r="X49" i="9" s="1"/>
  <c r="X36" i="7"/>
  <c r="X36" i="9" s="1"/>
  <c r="X39" i="7"/>
  <c r="X41" i="7"/>
  <c r="X41" i="9" s="1"/>
  <c r="X7" i="7"/>
  <c r="X34" i="7"/>
  <c r="X34" i="9" s="1"/>
  <c r="X48" i="7"/>
  <c r="X48" i="9" s="1"/>
  <c r="X32" i="7"/>
  <c r="X32" i="9" s="1"/>
  <c r="X35" i="7"/>
  <c r="X35" i="9" s="1"/>
  <c r="X37" i="7"/>
  <c r="X37" i="9" s="1"/>
  <c r="X50" i="7"/>
  <c r="X50" i="9" s="1"/>
  <c r="X19" i="7"/>
  <c r="X19" i="9" s="1"/>
  <c r="X51" i="7"/>
  <c r="X51" i="9" s="1"/>
  <c r="X31" i="7"/>
  <c r="X31" i="9" s="1"/>
  <c r="X23" i="7"/>
  <c r="X23" i="9" s="1"/>
  <c r="X25" i="7"/>
  <c r="X24" i="7"/>
  <c r="X38" i="7"/>
  <c r="X44" i="7"/>
  <c r="X44" i="9" s="1"/>
  <c r="X20" i="7"/>
  <c r="X20" i="9" s="1"/>
  <c r="X9" i="7"/>
  <c r="X9" i="9" s="1"/>
  <c r="X26" i="7"/>
  <c r="X40" i="7"/>
  <c r="X40" i="9" s="1"/>
  <c r="X45" i="7"/>
  <c r="X45" i="9" s="1"/>
  <c r="X5" i="7"/>
  <c r="X29" i="7"/>
  <c r="X21" i="7"/>
  <c r="X21" i="9" s="1"/>
  <c r="X33" i="7"/>
  <c r="X33" i="9" s="1"/>
  <c r="X10" i="7"/>
  <c r="X10" i="9" s="1"/>
  <c r="X14" i="7"/>
  <c r="X47" i="7"/>
  <c r="X47" i="9" s="1"/>
  <c r="X30" i="7"/>
  <c r="X30" i="9" s="1"/>
  <c r="X42" i="7"/>
  <c r="X42" i="9" s="1"/>
  <c r="X43" i="7"/>
  <c r="X43" i="9" s="1"/>
  <c r="X12" i="7"/>
  <c r="X12" i="9" s="1"/>
  <c r="P47" i="12"/>
  <c r="P47" i="11"/>
  <c r="P48" i="10"/>
  <c r="V8" i="25"/>
  <c r="H8" i="25"/>
  <c r="H10" i="25"/>
  <c r="H6" i="25"/>
  <c r="T8" i="25"/>
  <c r="T10" i="25"/>
  <c r="T6" i="25"/>
  <c r="G8" i="26"/>
  <c r="G6" i="26"/>
  <c r="G10" i="26"/>
  <c r="L32" i="12"/>
  <c r="L32" i="24" s="1"/>
  <c r="L74" i="24" s="1"/>
  <c r="U14" i="12"/>
  <c r="S14" i="24" s="1"/>
  <c r="S56" i="24" s="1"/>
  <c r="U14" i="13"/>
  <c r="L40" i="12"/>
  <c r="L40" i="24" s="1"/>
  <c r="L82" i="24" s="1"/>
  <c r="L40" i="13"/>
  <c r="AI37" i="9"/>
  <c r="V37" i="12"/>
  <c r="V37" i="13"/>
  <c r="V12" i="12"/>
  <c r="V12" i="13"/>
  <c r="V18" i="12"/>
  <c r="V18" i="13"/>
  <c r="V20" i="12"/>
  <c r="T20" i="24" s="1"/>
  <c r="T62" i="24" s="1"/>
  <c r="V20" i="13"/>
  <c r="V6" i="12"/>
  <c r="V6" i="13"/>
  <c r="Z22" i="12"/>
  <c r="AA22" i="12" s="1"/>
  <c r="AA22" i="11"/>
  <c r="Z22" i="13"/>
  <c r="AA22" i="13" s="1"/>
  <c r="Z20" i="12"/>
  <c r="AA20" i="12" s="1"/>
  <c r="AA20" i="11"/>
  <c r="Z20" i="13"/>
  <c r="AA20" i="13" s="1"/>
  <c r="AA29" i="11"/>
  <c r="Z29" i="12"/>
  <c r="AA29" i="12" s="1"/>
  <c r="Z29" i="13"/>
  <c r="AA29" i="13" s="1"/>
  <c r="Z28" i="12"/>
  <c r="AA28" i="12" s="1"/>
  <c r="AA28" i="11"/>
  <c r="Z28" i="13"/>
  <c r="AA28" i="13" s="1"/>
  <c r="Z10" i="12"/>
  <c r="AA10" i="12" s="1"/>
  <c r="AA10" i="11"/>
  <c r="Z10" i="13"/>
  <c r="AA10" i="13" s="1"/>
  <c r="N39" i="12"/>
  <c r="N39" i="13"/>
  <c r="N36" i="12"/>
  <c r="N36" i="24" s="1"/>
  <c r="N78" i="24" s="1"/>
  <c r="N36" i="13"/>
  <c r="N32" i="12"/>
  <c r="N32" i="13"/>
  <c r="N19" i="12"/>
  <c r="N19" i="24" s="1"/>
  <c r="N61" i="24" s="1"/>
  <c r="N19" i="13"/>
  <c r="U35" i="12"/>
  <c r="U35" i="13"/>
  <c r="U12" i="12"/>
  <c r="S12" i="24" s="1"/>
  <c r="S54" i="24" s="1"/>
  <c r="U12" i="13"/>
  <c r="U31" i="12"/>
  <c r="U31" i="13"/>
  <c r="U6" i="12"/>
  <c r="U6" i="13"/>
  <c r="U8" i="12"/>
  <c r="U8" i="13"/>
  <c r="L37" i="12"/>
  <c r="L37" i="13"/>
  <c r="L29" i="12"/>
  <c r="L29" i="24" s="1"/>
  <c r="L71" i="24" s="1"/>
  <c r="L29" i="13"/>
  <c r="L31" i="12"/>
  <c r="L31" i="24" s="1"/>
  <c r="L73" i="24" s="1"/>
  <c r="L31" i="13"/>
  <c r="L10" i="12"/>
  <c r="L10" i="24" s="1"/>
  <c r="L52" i="24" s="1"/>
  <c r="L10" i="13"/>
  <c r="L7" i="12"/>
  <c r="L7" i="24" s="1"/>
  <c r="L49" i="24" s="1"/>
  <c r="L7" i="13"/>
  <c r="AI43" i="9"/>
  <c r="AI44" i="9"/>
  <c r="AI21" i="9"/>
  <c r="AI8" i="9"/>
  <c r="AI13" i="9"/>
  <c r="AI14" i="9"/>
  <c r="Z6" i="12"/>
  <c r="AA6" i="12" s="1"/>
  <c r="AA6" i="11"/>
  <c r="Z6" i="13"/>
  <c r="AA6" i="13" s="1"/>
  <c r="N37" i="12"/>
  <c r="N37" i="24" s="1"/>
  <c r="N79" i="24" s="1"/>
  <c r="N37" i="13"/>
  <c r="U40" i="12"/>
  <c r="U40" i="13"/>
  <c r="V33" i="12"/>
  <c r="T33" i="24" s="1"/>
  <c r="T75" i="24" s="1"/>
  <c r="V33" i="13"/>
  <c r="V13" i="12"/>
  <c r="V13" i="13"/>
  <c r="V25" i="12"/>
  <c r="V25" i="13"/>
  <c r="V34" i="12"/>
  <c r="V34" i="13"/>
  <c r="V10" i="12"/>
  <c r="T10" i="24" s="1"/>
  <c r="T52" i="24" s="1"/>
  <c r="V10" i="13"/>
  <c r="AA33" i="11"/>
  <c r="Z33" i="12"/>
  <c r="AA33" i="12" s="1"/>
  <c r="Z33" i="13"/>
  <c r="AA33" i="13" s="1"/>
  <c r="AA37" i="11"/>
  <c r="Z37" i="12"/>
  <c r="AA37" i="12" s="1"/>
  <c r="Z37" i="13"/>
  <c r="AA37" i="13" s="1"/>
  <c r="Z27" i="12"/>
  <c r="AA27" i="12" s="1"/>
  <c r="AA27" i="11"/>
  <c r="Z27" i="13"/>
  <c r="AA27" i="13" s="1"/>
  <c r="Z12" i="12"/>
  <c r="AA12" i="12" s="1"/>
  <c r="AA12" i="11"/>
  <c r="Z12" i="13"/>
  <c r="AA12" i="13" s="1"/>
  <c r="Z5" i="12"/>
  <c r="AA5" i="11"/>
  <c r="Z5" i="13"/>
  <c r="Z43" i="11"/>
  <c r="N34" i="12"/>
  <c r="N34" i="24" s="1"/>
  <c r="N76" i="24" s="1"/>
  <c r="N34" i="13"/>
  <c r="N31" i="12"/>
  <c r="N31" i="24" s="1"/>
  <c r="N73" i="24" s="1"/>
  <c r="N31" i="13"/>
  <c r="N25" i="12"/>
  <c r="N25" i="24" s="1"/>
  <c r="N67" i="24" s="1"/>
  <c r="N25" i="13"/>
  <c r="N11" i="12"/>
  <c r="N11" i="24" s="1"/>
  <c r="N53" i="24" s="1"/>
  <c r="N11" i="13"/>
  <c r="U16" i="12"/>
  <c r="S16" i="24" s="1"/>
  <c r="S58" i="24" s="1"/>
  <c r="U16" i="13"/>
  <c r="U19" i="12"/>
  <c r="U19" i="13"/>
  <c r="U29" i="12"/>
  <c r="U29" i="13"/>
  <c r="U18" i="12"/>
  <c r="U18" i="13"/>
  <c r="U7" i="12"/>
  <c r="S7" i="24" s="1"/>
  <c r="S49" i="24" s="1"/>
  <c r="U7" i="13"/>
  <c r="L41" i="12"/>
  <c r="L41" i="24" s="1"/>
  <c r="L83" i="24" s="1"/>
  <c r="L41" i="13"/>
  <c r="L19" i="12"/>
  <c r="L19" i="13"/>
  <c r="L30" i="12"/>
  <c r="L30" i="24" s="1"/>
  <c r="L72" i="24" s="1"/>
  <c r="L30" i="13"/>
  <c r="L22" i="12"/>
  <c r="L22" i="13"/>
  <c r="L15" i="12"/>
  <c r="L15" i="24" s="1"/>
  <c r="L57" i="24" s="1"/>
  <c r="L15" i="13"/>
  <c r="AI35" i="9"/>
  <c r="AI50" i="9"/>
  <c r="AI41" i="9"/>
  <c r="AI38" i="9"/>
  <c r="AI27" i="9"/>
  <c r="AI28" i="9"/>
  <c r="V14" i="12"/>
  <c r="V14" i="13"/>
  <c r="Z40" i="12"/>
  <c r="AA40" i="12" s="1"/>
  <c r="AA40" i="11"/>
  <c r="Z40" i="13"/>
  <c r="AA40" i="13" s="1"/>
  <c r="U33" i="12"/>
  <c r="S33" i="24" s="1"/>
  <c r="S75" i="24" s="1"/>
  <c r="U33" i="13"/>
  <c r="L26" i="12"/>
  <c r="L26" i="13"/>
  <c r="AI34" i="9"/>
  <c r="T54" i="9"/>
  <c r="T54" i="8"/>
  <c r="T54" i="7"/>
  <c r="V35" i="12"/>
  <c r="T35" i="24" s="1"/>
  <c r="T77" i="24" s="1"/>
  <c r="V35" i="13"/>
  <c r="V19" i="12"/>
  <c r="V19" i="13"/>
  <c r="V16" i="12"/>
  <c r="T16" i="24" s="1"/>
  <c r="T58" i="24" s="1"/>
  <c r="V16" i="13"/>
  <c r="V11" i="12"/>
  <c r="T11" i="24" s="1"/>
  <c r="T53" i="24" s="1"/>
  <c r="V11" i="13"/>
  <c r="V5" i="12"/>
  <c r="T5" i="24" s="1"/>
  <c r="T47" i="24" s="1"/>
  <c r="V5" i="13"/>
  <c r="V43" i="11"/>
  <c r="Z36" i="12"/>
  <c r="AA36" i="12" s="1"/>
  <c r="AA36" i="11"/>
  <c r="Z36" i="13"/>
  <c r="AA36" i="13" s="1"/>
  <c r="Z17" i="12"/>
  <c r="AA17" i="12" s="1"/>
  <c r="AA17" i="11"/>
  <c r="Z17" i="13"/>
  <c r="AA17" i="13" s="1"/>
  <c r="Z18" i="12"/>
  <c r="AA18" i="12" s="1"/>
  <c r="AA18" i="11"/>
  <c r="Z18" i="13"/>
  <c r="AA18" i="13" s="1"/>
  <c r="Z24" i="12"/>
  <c r="AA24" i="12" s="1"/>
  <c r="AA24" i="11"/>
  <c r="Z24" i="13"/>
  <c r="AA24" i="13" s="1"/>
  <c r="Z9" i="12"/>
  <c r="AA9" i="12" s="1"/>
  <c r="AA9" i="11"/>
  <c r="Z9" i="13"/>
  <c r="AA9" i="13" s="1"/>
  <c r="N28" i="12"/>
  <c r="N28" i="13"/>
  <c r="N38" i="12"/>
  <c r="N38" i="13"/>
  <c r="N30" i="12"/>
  <c r="N30" i="13"/>
  <c r="N13" i="12"/>
  <c r="N13" i="24" s="1"/>
  <c r="N55" i="24" s="1"/>
  <c r="N13" i="13"/>
  <c r="N6" i="12"/>
  <c r="N6" i="13"/>
  <c r="U23" i="12"/>
  <c r="S23" i="24" s="1"/>
  <c r="S65" i="24" s="1"/>
  <c r="U23" i="13"/>
  <c r="U17" i="12"/>
  <c r="U17" i="13"/>
  <c r="U20" i="12"/>
  <c r="U20" i="13"/>
  <c r="U30" i="12"/>
  <c r="S30" i="24" s="1"/>
  <c r="S72" i="24" s="1"/>
  <c r="U30" i="13"/>
  <c r="U15" i="12"/>
  <c r="S15" i="24" s="1"/>
  <c r="S57" i="24" s="1"/>
  <c r="U15" i="13"/>
  <c r="L18" i="12"/>
  <c r="L18" i="24" s="1"/>
  <c r="L60" i="24" s="1"/>
  <c r="L18" i="13"/>
  <c r="L25" i="12"/>
  <c r="L25" i="13"/>
  <c r="L28" i="12"/>
  <c r="L28" i="13"/>
  <c r="L14" i="12"/>
  <c r="L14" i="24" s="1"/>
  <c r="L56" i="24" s="1"/>
  <c r="L14" i="13"/>
  <c r="AI40" i="9"/>
  <c r="AI49" i="9"/>
  <c r="AI46" i="9"/>
  <c r="AI53" i="7"/>
  <c r="AI58" i="7" s="1"/>
  <c r="AI44" i="8" s="1"/>
  <c r="AI5" i="9"/>
  <c r="AI16" i="9"/>
  <c r="AI11" i="9"/>
  <c r="V27" i="12"/>
  <c r="T27" i="24" s="1"/>
  <c r="T69" i="24" s="1"/>
  <c r="V27" i="13"/>
  <c r="Z32" i="12"/>
  <c r="AA32" i="12" s="1"/>
  <c r="AA32" i="11"/>
  <c r="Z32" i="13"/>
  <c r="AA32" i="13" s="1"/>
  <c r="N29" i="12"/>
  <c r="N29" i="13"/>
  <c r="AI22" i="9"/>
  <c r="V17" i="12"/>
  <c r="V17" i="13"/>
  <c r="V28" i="12"/>
  <c r="T28" i="24" s="1"/>
  <c r="T70" i="24" s="1"/>
  <c r="V28" i="13"/>
  <c r="V31" i="12"/>
  <c r="T31" i="24" s="1"/>
  <c r="T73" i="24" s="1"/>
  <c r="V31" i="13"/>
  <c r="V40" i="12"/>
  <c r="V40" i="13"/>
  <c r="V9" i="12"/>
  <c r="V9" i="13"/>
  <c r="Z31" i="12"/>
  <c r="AA31" i="12" s="1"/>
  <c r="AA31" i="11"/>
  <c r="Z31" i="13"/>
  <c r="AA31" i="13" s="1"/>
  <c r="Z13" i="12"/>
  <c r="AA13" i="12" s="1"/>
  <c r="AA13" i="11"/>
  <c r="Z13" i="13"/>
  <c r="AA13" i="13" s="1"/>
  <c r="Z38" i="12"/>
  <c r="AA38" i="12" s="1"/>
  <c r="AA38" i="11"/>
  <c r="Z38" i="13"/>
  <c r="AA38" i="13" s="1"/>
  <c r="Z16" i="12"/>
  <c r="AA16" i="12" s="1"/>
  <c r="AA16" i="11"/>
  <c r="Z16" i="13"/>
  <c r="AA16" i="13" s="1"/>
  <c r="N35" i="12"/>
  <c r="N35" i="13"/>
  <c r="N41" i="12"/>
  <c r="N41" i="24" s="1"/>
  <c r="N83" i="24" s="1"/>
  <c r="N41" i="13"/>
  <c r="N20" i="12"/>
  <c r="N20" i="13"/>
  <c r="N21" i="12"/>
  <c r="N21" i="13"/>
  <c r="N10" i="12"/>
  <c r="N10" i="13"/>
  <c r="U38" i="12"/>
  <c r="U38" i="13"/>
  <c r="U24" i="12"/>
  <c r="S24" i="24" s="1"/>
  <c r="S66" i="24" s="1"/>
  <c r="U24" i="13"/>
  <c r="U36" i="12"/>
  <c r="U36" i="13"/>
  <c r="U10" i="12"/>
  <c r="U10" i="13"/>
  <c r="L21" i="12"/>
  <c r="L21" i="24" s="1"/>
  <c r="L63" i="24" s="1"/>
  <c r="L21" i="13"/>
  <c r="L39" i="12"/>
  <c r="L39" i="13"/>
  <c r="L38" i="12"/>
  <c r="L38" i="13"/>
  <c r="AI32" i="9"/>
  <c r="AI51" i="9"/>
  <c r="AI33" i="8"/>
  <c r="AI33" i="9"/>
  <c r="AI9" i="9"/>
  <c r="AI19" i="9"/>
  <c r="AI18" i="9"/>
  <c r="AB44" i="13"/>
  <c r="AB44" i="12"/>
  <c r="X48" i="12" s="1"/>
  <c r="AB44" i="11"/>
  <c r="AB44" i="10"/>
  <c r="L11" i="12"/>
  <c r="L11" i="13"/>
  <c r="AI17" i="9"/>
  <c r="V38" i="12"/>
  <c r="V38" i="13"/>
  <c r="V39" i="12"/>
  <c r="V39" i="13"/>
  <c r="V29" i="12"/>
  <c r="T29" i="24" s="1"/>
  <c r="T71" i="24" s="1"/>
  <c r="V29" i="13"/>
  <c r="V26" i="12"/>
  <c r="V26" i="13"/>
  <c r="V8" i="12"/>
  <c r="T8" i="24" s="1"/>
  <c r="T50" i="24" s="1"/>
  <c r="V8" i="13"/>
  <c r="AA41" i="11"/>
  <c r="Z41" i="12"/>
  <c r="AA41" i="12" s="1"/>
  <c r="Z41" i="13"/>
  <c r="AA41" i="13" s="1"/>
  <c r="Z11" i="12"/>
  <c r="AA11" i="12" s="1"/>
  <c r="AA11" i="11"/>
  <c r="Z11" i="13"/>
  <c r="AA11" i="13" s="1"/>
  <c r="Z14" i="12"/>
  <c r="AA14" i="12" s="1"/>
  <c r="AA14" i="11"/>
  <c r="Z14" i="13"/>
  <c r="AA14" i="13" s="1"/>
  <c r="Z8" i="12"/>
  <c r="AA8" i="12" s="1"/>
  <c r="AA8" i="11"/>
  <c r="Z8" i="13"/>
  <c r="AA8" i="13" s="1"/>
  <c r="N33" i="12"/>
  <c r="N33" i="13"/>
  <c r="N17" i="12"/>
  <c r="N17" i="24" s="1"/>
  <c r="N59" i="24" s="1"/>
  <c r="N17" i="13"/>
  <c r="N40" i="12"/>
  <c r="N40" i="13"/>
  <c r="N23" i="12"/>
  <c r="N23" i="24" s="1"/>
  <c r="N65" i="24" s="1"/>
  <c r="N23" i="13"/>
  <c r="N5" i="12"/>
  <c r="N5" i="13"/>
  <c r="N43" i="11"/>
  <c r="U13" i="12"/>
  <c r="U13" i="13"/>
  <c r="U41" i="12"/>
  <c r="U41" i="13"/>
  <c r="U21" i="12"/>
  <c r="U21" i="13"/>
  <c r="U22" i="12"/>
  <c r="S22" i="24" s="1"/>
  <c r="S64" i="24" s="1"/>
  <c r="U22" i="13"/>
  <c r="L27" i="12"/>
  <c r="L27" i="13"/>
  <c r="L33" i="12"/>
  <c r="L33" i="24" s="1"/>
  <c r="L75" i="24" s="1"/>
  <c r="L33" i="13"/>
  <c r="L35" i="12"/>
  <c r="L35" i="24" s="1"/>
  <c r="L77" i="24" s="1"/>
  <c r="L35" i="13"/>
  <c r="L6" i="12"/>
  <c r="L6" i="13"/>
  <c r="AI39" i="8"/>
  <c r="AE39" i="23" s="1"/>
  <c r="AE91" i="23" s="1"/>
  <c r="AI39" i="9"/>
  <c r="AI48" i="8"/>
  <c r="AI48" i="9"/>
  <c r="AI30" i="9"/>
  <c r="AI23" i="8"/>
  <c r="AI23" i="9"/>
  <c r="AI26" i="8"/>
  <c r="AE26" i="23" s="1"/>
  <c r="AE78" i="23" s="1"/>
  <c r="AI26" i="9"/>
  <c r="AI25" i="8"/>
  <c r="AI25" i="9"/>
  <c r="V36" i="12"/>
  <c r="T36" i="24" s="1"/>
  <c r="T78" i="24" s="1"/>
  <c r="V36" i="13"/>
  <c r="V15" i="12"/>
  <c r="V15" i="13"/>
  <c r="Z23" i="12"/>
  <c r="AA23" i="12" s="1"/>
  <c r="AA23" i="11"/>
  <c r="Z23" i="13"/>
  <c r="AA23" i="13" s="1"/>
  <c r="N7" i="12"/>
  <c r="N7" i="13"/>
  <c r="U37" i="12"/>
  <c r="U37" i="13"/>
  <c r="L17" i="12"/>
  <c r="L17" i="13"/>
  <c r="AI7" i="9"/>
  <c r="N56" i="9"/>
  <c r="N56" i="8"/>
  <c r="N56" i="7"/>
  <c r="E35" i="5"/>
  <c r="L45" i="12"/>
  <c r="L45" i="13"/>
  <c r="L45" i="10"/>
  <c r="L45" i="11"/>
  <c r="V23" i="12"/>
  <c r="T23" i="24" s="1"/>
  <c r="T65" i="24" s="1"/>
  <c r="V23" i="13"/>
  <c r="V32" i="12"/>
  <c r="V32" i="13"/>
  <c r="V41" i="12"/>
  <c r="T41" i="24" s="1"/>
  <c r="T83" i="24" s="1"/>
  <c r="V41" i="13"/>
  <c r="V24" i="12"/>
  <c r="V24" i="13"/>
  <c r="Z39" i="12"/>
  <c r="AA39" i="12" s="1"/>
  <c r="AA39" i="11"/>
  <c r="Z39" i="13"/>
  <c r="AA39" i="13" s="1"/>
  <c r="Z26" i="12"/>
  <c r="AA26" i="12" s="1"/>
  <c r="AA26" i="11"/>
  <c r="Z26" i="13"/>
  <c r="AA26" i="13" s="1"/>
  <c r="Z21" i="12"/>
  <c r="AA21" i="12" s="1"/>
  <c r="AA21" i="11"/>
  <c r="Z21" i="13"/>
  <c r="AA21" i="13" s="1"/>
  <c r="Z7" i="12"/>
  <c r="AA7" i="12" s="1"/>
  <c r="AA7" i="11"/>
  <c r="Z7" i="13"/>
  <c r="AA7" i="13" s="1"/>
  <c r="N26" i="12"/>
  <c r="N26" i="24" s="1"/>
  <c r="N68" i="24" s="1"/>
  <c r="N26" i="13"/>
  <c r="N12" i="12"/>
  <c r="N12" i="13"/>
  <c r="N14" i="12"/>
  <c r="N14" i="24" s="1"/>
  <c r="N56" i="24" s="1"/>
  <c r="N14" i="13"/>
  <c r="N15" i="12"/>
  <c r="N15" i="13"/>
  <c r="N9" i="12"/>
  <c r="N9" i="24" s="1"/>
  <c r="N51" i="24" s="1"/>
  <c r="N9" i="13"/>
  <c r="U27" i="12"/>
  <c r="U27" i="13"/>
  <c r="U39" i="12"/>
  <c r="U39" i="13"/>
  <c r="U11" i="12"/>
  <c r="U11" i="13"/>
  <c r="U26" i="12"/>
  <c r="U26" i="13"/>
  <c r="L34" i="12"/>
  <c r="L34" i="24" s="1"/>
  <c r="L76" i="24" s="1"/>
  <c r="L34" i="13"/>
  <c r="L36" i="12"/>
  <c r="L36" i="13"/>
  <c r="L12" i="12"/>
  <c r="L12" i="13"/>
  <c r="L13" i="12"/>
  <c r="L13" i="24" s="1"/>
  <c r="L55" i="24" s="1"/>
  <c r="L13" i="13"/>
  <c r="L5" i="12"/>
  <c r="L5" i="13"/>
  <c r="L43" i="11"/>
  <c r="AI31" i="8"/>
  <c r="AE31" i="23" s="1"/>
  <c r="AE83" i="23" s="1"/>
  <c r="AI31" i="9"/>
  <c r="AI47" i="8"/>
  <c r="AI47" i="9"/>
  <c r="AI36" i="8"/>
  <c r="AE36" i="23" s="1"/>
  <c r="AE88" i="23" s="1"/>
  <c r="AI36" i="9"/>
  <c r="AI6" i="8"/>
  <c r="AI6" i="9"/>
  <c r="AI20" i="8"/>
  <c r="AE20" i="23" s="1"/>
  <c r="AE72" i="23" s="1"/>
  <c r="AI20" i="9"/>
  <c r="AI15" i="8"/>
  <c r="AI15" i="9"/>
  <c r="Z25" i="12"/>
  <c r="AA25" i="12" s="1"/>
  <c r="AA25" i="11"/>
  <c r="Z25" i="13"/>
  <c r="AA25" i="13" s="1"/>
  <c r="N18" i="12"/>
  <c r="N18" i="24" s="1"/>
  <c r="N60" i="24" s="1"/>
  <c r="N18" i="13"/>
  <c r="U9" i="12"/>
  <c r="U9" i="13"/>
  <c r="L8" i="12"/>
  <c r="L8" i="13"/>
  <c r="N55" i="9"/>
  <c r="N55" i="8"/>
  <c r="N55" i="7"/>
  <c r="F35" i="5"/>
  <c r="L46" i="12"/>
  <c r="L46" i="13"/>
  <c r="L46" i="11"/>
  <c r="L46" i="10"/>
  <c r="V30" i="12"/>
  <c r="V30" i="13"/>
  <c r="V21" i="12"/>
  <c r="T21" i="24" s="1"/>
  <c r="T63" i="24" s="1"/>
  <c r="V21" i="13"/>
  <c r="V22" i="12"/>
  <c r="V22" i="13"/>
  <c r="V7" i="12"/>
  <c r="T7" i="24" s="1"/>
  <c r="T49" i="24" s="1"/>
  <c r="V7" i="13"/>
  <c r="Z35" i="12"/>
  <c r="AA35" i="12" s="1"/>
  <c r="AA35" i="11"/>
  <c r="Z35" i="13"/>
  <c r="AA35" i="13" s="1"/>
  <c r="Z30" i="12"/>
  <c r="AA30" i="12" s="1"/>
  <c r="AA30" i="11"/>
  <c r="Z30" i="13"/>
  <c r="AA30" i="13" s="1"/>
  <c r="Z34" i="12"/>
  <c r="AA34" i="12" s="1"/>
  <c r="AA34" i="11"/>
  <c r="Z34" i="13"/>
  <c r="AA34" i="13" s="1"/>
  <c r="Z19" i="12"/>
  <c r="AA19" i="12" s="1"/>
  <c r="AA19" i="11"/>
  <c r="Z19" i="13"/>
  <c r="AA19" i="13" s="1"/>
  <c r="Z15" i="12"/>
  <c r="AA15" i="12" s="1"/>
  <c r="AA15" i="11"/>
  <c r="Z15" i="13"/>
  <c r="AA15" i="13" s="1"/>
  <c r="N16" i="12"/>
  <c r="N16" i="13"/>
  <c r="N24" i="12"/>
  <c r="N24" i="24" s="1"/>
  <c r="N66" i="24" s="1"/>
  <c r="N24" i="13"/>
  <c r="N22" i="12"/>
  <c r="N22" i="13"/>
  <c r="N27" i="12"/>
  <c r="N27" i="24" s="1"/>
  <c r="N69" i="24" s="1"/>
  <c r="N27" i="13"/>
  <c r="N8" i="12"/>
  <c r="N8" i="13"/>
  <c r="U32" i="12"/>
  <c r="S32" i="24" s="1"/>
  <c r="S74" i="24" s="1"/>
  <c r="U32" i="13"/>
  <c r="U25" i="12"/>
  <c r="U25" i="13"/>
  <c r="U28" i="12"/>
  <c r="U28" i="13"/>
  <c r="U34" i="12"/>
  <c r="U34" i="13"/>
  <c r="U5" i="12"/>
  <c r="U43" i="11"/>
  <c r="U5" i="13"/>
  <c r="L16" i="12"/>
  <c r="L16" i="13"/>
  <c r="L24" i="12"/>
  <c r="L24" i="13"/>
  <c r="L23" i="12"/>
  <c r="L23" i="24" s="1"/>
  <c r="L65" i="24" s="1"/>
  <c r="L23" i="13"/>
  <c r="L20" i="12"/>
  <c r="L20" i="13"/>
  <c r="L9" i="12"/>
  <c r="L9" i="24" s="1"/>
  <c r="L51" i="24" s="1"/>
  <c r="L9" i="13"/>
  <c r="AI45" i="8"/>
  <c r="AI45" i="9"/>
  <c r="AI24" i="8"/>
  <c r="AE24" i="23" s="1"/>
  <c r="AE76" i="23" s="1"/>
  <c r="AI24" i="9"/>
  <c r="AI42" i="8"/>
  <c r="AI42" i="9"/>
  <c r="AI12" i="8"/>
  <c r="AE12" i="23" s="1"/>
  <c r="AE64" i="23" s="1"/>
  <c r="AI12" i="9"/>
  <c r="AI10" i="8"/>
  <c r="AI10" i="9"/>
  <c r="AI29" i="8"/>
  <c r="AE29" i="23" s="1"/>
  <c r="AE81" i="23" s="1"/>
  <c r="AI29" i="9"/>
  <c r="F10" i="5"/>
  <c r="N58" i="6"/>
  <c r="E10" i="5"/>
  <c r="N57" i="6"/>
  <c r="D47" i="5"/>
  <c r="D29" i="5"/>
  <c r="AE42" i="23" l="1"/>
  <c r="AE94" i="23" s="1"/>
  <c r="L16" i="24"/>
  <c r="L58" i="24" s="1"/>
  <c r="S11" i="24"/>
  <c r="S53" i="24" s="1"/>
  <c r="AE23" i="23"/>
  <c r="AE75" i="23" s="1"/>
  <c r="L27" i="24"/>
  <c r="L69" i="24" s="1"/>
  <c r="N5" i="24"/>
  <c r="N47" i="24" s="1"/>
  <c r="N33" i="24"/>
  <c r="N75" i="24" s="1"/>
  <c r="L39" i="24"/>
  <c r="L81" i="24" s="1"/>
  <c r="L8" i="24"/>
  <c r="L50" i="24" s="1"/>
  <c r="N8" i="24"/>
  <c r="N50" i="24" s="1"/>
  <c r="N16" i="24"/>
  <c r="N58" i="24" s="1"/>
  <c r="T22" i="24"/>
  <c r="T64" i="24" s="1"/>
  <c r="AE6" i="23"/>
  <c r="AE58" i="23" s="1"/>
  <c r="N12" i="24"/>
  <c r="N54" i="24" s="1"/>
  <c r="T32" i="24"/>
  <c r="T74" i="24" s="1"/>
  <c r="T15" i="24"/>
  <c r="T57" i="24" s="1"/>
  <c r="AE48" i="23"/>
  <c r="AE100" i="23" s="1"/>
  <c r="T39" i="24"/>
  <c r="T81" i="24" s="1"/>
  <c r="S38" i="24"/>
  <c r="S80" i="24" s="1"/>
  <c r="N10" i="24"/>
  <c r="N52" i="24" s="1"/>
  <c r="N35" i="24"/>
  <c r="N77" i="24" s="1"/>
  <c r="L25" i="24"/>
  <c r="L67" i="24" s="1"/>
  <c r="AE10" i="23"/>
  <c r="AE62" i="23" s="1"/>
  <c r="AE45" i="23"/>
  <c r="AE97" i="23" s="1"/>
  <c r="S9" i="24"/>
  <c r="S51" i="24" s="1"/>
  <c r="S27" i="24"/>
  <c r="S69" i="24" s="1"/>
  <c r="L17" i="24"/>
  <c r="L59" i="24" s="1"/>
  <c r="N7" i="24"/>
  <c r="N49" i="24" s="1"/>
  <c r="AE25" i="23"/>
  <c r="AE77" i="23" s="1"/>
  <c r="N40" i="24"/>
  <c r="N82" i="24" s="1"/>
  <c r="N38" i="24"/>
  <c r="N80" i="24" s="1"/>
  <c r="T38" i="24"/>
  <c r="T80" i="24" s="1"/>
  <c r="L38" i="24"/>
  <c r="L80" i="24" s="1"/>
  <c r="S10" i="24"/>
  <c r="S52" i="24" s="1"/>
  <c r="N21" i="24"/>
  <c r="N63" i="24" s="1"/>
  <c r="T9" i="24"/>
  <c r="T51" i="24" s="1"/>
  <c r="L20" i="24"/>
  <c r="L62" i="24" s="1"/>
  <c r="N22" i="24"/>
  <c r="N64" i="24" s="1"/>
  <c r="T30" i="24"/>
  <c r="T72" i="24" s="1"/>
  <c r="AE15" i="23"/>
  <c r="AE67" i="23" s="1"/>
  <c r="AE47" i="23"/>
  <c r="AE99" i="23" s="1"/>
  <c r="L5" i="24"/>
  <c r="L47" i="24" s="1"/>
  <c r="L36" i="24"/>
  <c r="L78" i="24" s="1"/>
  <c r="N15" i="24"/>
  <c r="N57" i="24" s="1"/>
  <c r="T24" i="24"/>
  <c r="T66" i="24" s="1"/>
  <c r="T26" i="24"/>
  <c r="T68" i="24" s="1"/>
  <c r="AE33" i="23"/>
  <c r="AE85" i="23" s="1"/>
  <c r="S36" i="24"/>
  <c r="S78" i="24" s="1"/>
  <c r="N20" i="24"/>
  <c r="N62" i="24" s="1"/>
  <c r="T40" i="24"/>
  <c r="T82" i="24" s="1"/>
  <c r="X17" i="9"/>
  <c r="M17" i="12"/>
  <c r="M17" i="13"/>
  <c r="M7" i="12"/>
  <c r="M7" i="13"/>
  <c r="M15" i="12"/>
  <c r="M15" i="13"/>
  <c r="M37" i="12"/>
  <c r="M37" i="13"/>
  <c r="M12" i="13"/>
  <c r="M12" i="12"/>
  <c r="M12" i="24" s="1"/>
  <c r="M54" i="24" s="1"/>
  <c r="AD32" i="7"/>
  <c r="AC32" i="9"/>
  <c r="AD32" i="9" s="1"/>
  <c r="AD22" i="7"/>
  <c r="AC22" i="9"/>
  <c r="AD22" i="9" s="1"/>
  <c r="AD12" i="7"/>
  <c r="AC12" i="9"/>
  <c r="AD12" i="9" s="1"/>
  <c r="AD10" i="7"/>
  <c r="AC10" i="9"/>
  <c r="AD10" i="9" s="1"/>
  <c r="AD39" i="7"/>
  <c r="AC39" i="9"/>
  <c r="AD39" i="9" s="1"/>
  <c r="AC45" i="9"/>
  <c r="AD45" i="9" s="1"/>
  <c r="AD45" i="7"/>
  <c r="W17" i="9"/>
  <c r="S36" i="11"/>
  <c r="R36" i="12"/>
  <c r="R36" i="13"/>
  <c r="S36" i="13" s="1"/>
  <c r="S26" i="11"/>
  <c r="R26" i="13"/>
  <c r="S26" i="13" s="1"/>
  <c r="R26" i="12"/>
  <c r="R11" i="13"/>
  <c r="S11" i="13" s="1"/>
  <c r="R11" i="12"/>
  <c r="S11" i="11"/>
  <c r="R13" i="12"/>
  <c r="S13" i="11"/>
  <c r="R13" i="13"/>
  <c r="S13" i="13" s="1"/>
  <c r="L50" i="9"/>
  <c r="L38" i="9"/>
  <c r="L25" i="9"/>
  <c r="L43" i="9"/>
  <c r="L23" i="9"/>
  <c r="L51" i="9"/>
  <c r="M19" i="7"/>
  <c r="M19" i="9" s="1"/>
  <c r="M17" i="7"/>
  <c r="M17" i="9" s="1"/>
  <c r="M9" i="7"/>
  <c r="M9" i="9" s="1"/>
  <c r="M13" i="7"/>
  <c r="M13" i="9" s="1"/>
  <c r="M7" i="7"/>
  <c r="M5" i="7"/>
  <c r="M33" i="7"/>
  <c r="M33" i="9" s="1"/>
  <c r="M26" i="7"/>
  <c r="M26" i="9" s="1"/>
  <c r="M51" i="7"/>
  <c r="M34" i="7"/>
  <c r="M43" i="7"/>
  <c r="M43" i="9" s="1"/>
  <c r="M25" i="7"/>
  <c r="M25" i="9" s="1"/>
  <c r="M40" i="7"/>
  <c r="M40" i="9" s="1"/>
  <c r="M46" i="7"/>
  <c r="M46" i="9" s="1"/>
  <c r="M12" i="7"/>
  <c r="M10" i="7"/>
  <c r="M10" i="9" s="1"/>
  <c r="M37" i="7"/>
  <c r="M37" i="9" s="1"/>
  <c r="M41" i="7"/>
  <c r="M41" i="9" s="1"/>
  <c r="M16" i="7"/>
  <c r="M16" i="9" s="1"/>
  <c r="M39" i="7"/>
  <c r="M39" i="9" s="1"/>
  <c r="M47" i="7"/>
  <c r="M28" i="7"/>
  <c r="M28" i="9" s="1"/>
  <c r="M6" i="7"/>
  <c r="M27" i="7"/>
  <c r="M18" i="7"/>
  <c r="M18" i="9" s="1"/>
  <c r="M36" i="7"/>
  <c r="M36" i="9" s="1"/>
  <c r="M30" i="7"/>
  <c r="M30" i="9" s="1"/>
  <c r="M38" i="7"/>
  <c r="M38" i="9" s="1"/>
  <c r="M24" i="7"/>
  <c r="M24" i="9" s="1"/>
  <c r="M20" i="7"/>
  <c r="M20" i="9" s="1"/>
  <c r="M45" i="7"/>
  <c r="M45" i="9" s="1"/>
  <c r="M29" i="7"/>
  <c r="M29" i="9" s="1"/>
  <c r="M11" i="7"/>
  <c r="M11" i="9" s="1"/>
  <c r="M8" i="7"/>
  <c r="M8" i="9" s="1"/>
  <c r="M35" i="7"/>
  <c r="M35" i="9" s="1"/>
  <c r="M21" i="7"/>
  <c r="M21" i="9" s="1"/>
  <c r="M42" i="7"/>
  <c r="M42" i="9" s="1"/>
  <c r="M32" i="7"/>
  <c r="M32" i="9" s="1"/>
  <c r="M50" i="7"/>
  <c r="M50" i="9" s="1"/>
  <c r="M14" i="7"/>
  <c r="M14" i="9" s="1"/>
  <c r="M31" i="7"/>
  <c r="M31" i="9" s="1"/>
  <c r="M15" i="7"/>
  <c r="M15" i="9" s="1"/>
  <c r="M23" i="7"/>
  <c r="M23" i="9" s="1"/>
  <c r="M49" i="7"/>
  <c r="M49" i="9" s="1"/>
  <c r="M48" i="7"/>
  <c r="M48" i="9" s="1"/>
  <c r="M44" i="7"/>
  <c r="M44" i="9" s="1"/>
  <c r="M22" i="7"/>
  <c r="M22" i="9" s="1"/>
  <c r="AH53" i="7"/>
  <c r="AH58" i="7" s="1"/>
  <c r="AH5" i="9"/>
  <c r="M8" i="26"/>
  <c r="Q40" i="9"/>
  <c r="Q23" i="9"/>
  <c r="U53" i="7"/>
  <c r="U58" i="7" s="1"/>
  <c r="U5" i="9"/>
  <c r="U36" i="9"/>
  <c r="S53" i="7"/>
  <c r="AE44" i="23"/>
  <c r="AE96" i="23" s="1"/>
  <c r="N6" i="24"/>
  <c r="N48" i="24" s="1"/>
  <c r="D11" i="26" s="1"/>
  <c r="N28" i="24"/>
  <c r="N70" i="24" s="1"/>
  <c r="L26" i="24"/>
  <c r="L68" i="24" s="1"/>
  <c r="L22" i="24"/>
  <c r="L64" i="24" s="1"/>
  <c r="S19" i="24"/>
  <c r="S61" i="24" s="1"/>
  <c r="T13" i="24"/>
  <c r="T55" i="24" s="1"/>
  <c r="L37" i="24"/>
  <c r="L79" i="24" s="1"/>
  <c r="S31" i="24"/>
  <c r="S73" i="24" s="1"/>
  <c r="T6" i="24"/>
  <c r="T48" i="24" s="1"/>
  <c r="J9" i="26" s="1"/>
  <c r="T37" i="24"/>
  <c r="T79" i="24" s="1"/>
  <c r="X39" i="9"/>
  <c r="M8" i="12"/>
  <c r="M8" i="13"/>
  <c r="M33" i="12"/>
  <c r="M33" i="13"/>
  <c r="M24" i="12"/>
  <c r="M24" i="13"/>
  <c r="M10" i="12"/>
  <c r="M10" i="24" s="1"/>
  <c r="M52" i="24" s="1"/>
  <c r="M10" i="13"/>
  <c r="M25" i="13"/>
  <c r="M25" i="12"/>
  <c r="M25" i="24" s="1"/>
  <c r="M67" i="24" s="1"/>
  <c r="AD23" i="7"/>
  <c r="AC23" i="9"/>
  <c r="AD23" i="9" s="1"/>
  <c r="AC21" i="9"/>
  <c r="AD21" i="9" s="1"/>
  <c r="AD21" i="7"/>
  <c r="AD44" i="7"/>
  <c r="AC44" i="9"/>
  <c r="AD44" i="9" s="1"/>
  <c r="AD16" i="7"/>
  <c r="AC16" i="9"/>
  <c r="AD16" i="9" s="1"/>
  <c r="AD41" i="7"/>
  <c r="AC41" i="9"/>
  <c r="AD41" i="9" s="1"/>
  <c r="AD14" i="7"/>
  <c r="AC14" i="9"/>
  <c r="AD14" i="9" s="1"/>
  <c r="W26" i="9"/>
  <c r="W11" i="9"/>
  <c r="R27" i="13"/>
  <c r="S27" i="13" s="1"/>
  <c r="R27" i="12"/>
  <c r="S27" i="11"/>
  <c r="R9" i="12"/>
  <c r="S9" i="11"/>
  <c r="R9" i="13"/>
  <c r="S9" i="13" s="1"/>
  <c r="R22" i="12"/>
  <c r="S22" i="11"/>
  <c r="R22" i="13"/>
  <c r="S22" i="13" s="1"/>
  <c r="R17" i="13"/>
  <c r="S17" i="13" s="1"/>
  <c r="R17" i="12"/>
  <c r="S17" i="11"/>
  <c r="L12" i="9"/>
  <c r="L47" i="9"/>
  <c r="L33" i="9"/>
  <c r="L44" i="9"/>
  <c r="T10" i="11"/>
  <c r="T11" i="11"/>
  <c r="T32" i="11"/>
  <c r="T18" i="11"/>
  <c r="T12" i="11"/>
  <c r="T24" i="11"/>
  <c r="T6" i="11"/>
  <c r="T19" i="11"/>
  <c r="T34" i="11"/>
  <c r="T29" i="11"/>
  <c r="T38" i="11"/>
  <c r="T26" i="11"/>
  <c r="T20" i="11"/>
  <c r="T35" i="11"/>
  <c r="T15" i="11"/>
  <c r="T22" i="11"/>
  <c r="T14" i="11"/>
  <c r="T13" i="11"/>
  <c r="T40" i="11"/>
  <c r="T39" i="11"/>
  <c r="T7" i="11"/>
  <c r="T17" i="11"/>
  <c r="T33" i="11"/>
  <c r="T31" i="11"/>
  <c r="T27" i="11"/>
  <c r="T23" i="11"/>
  <c r="T8" i="11"/>
  <c r="T21" i="11"/>
  <c r="T9" i="11"/>
  <c r="T30" i="11"/>
  <c r="T28" i="11"/>
  <c r="T16" i="11"/>
  <c r="T36" i="11"/>
  <c r="T41" i="11"/>
  <c r="T5" i="11"/>
  <c r="T25" i="11"/>
  <c r="T37" i="11"/>
  <c r="N39" i="24"/>
  <c r="N81" i="24" s="1"/>
  <c r="X29" i="9"/>
  <c r="X38" i="9"/>
  <c r="X16" i="9"/>
  <c r="M39" i="12"/>
  <c r="M39" i="13"/>
  <c r="M21" i="12"/>
  <c r="M21" i="13"/>
  <c r="M31" i="12"/>
  <c r="M31" i="13"/>
  <c r="M14" i="12"/>
  <c r="M14" i="24" s="1"/>
  <c r="M56" i="24" s="1"/>
  <c r="M14" i="13"/>
  <c r="M29" i="12"/>
  <c r="M29" i="13"/>
  <c r="AC5" i="9"/>
  <c r="AC53" i="7"/>
  <c r="AC58" i="7" s="1"/>
  <c r="AD5" i="7"/>
  <c r="AD48" i="7"/>
  <c r="AC48" i="9"/>
  <c r="AD48" i="9" s="1"/>
  <c r="AD49" i="7"/>
  <c r="AC49" i="9"/>
  <c r="AD49" i="9" s="1"/>
  <c r="AC30" i="9"/>
  <c r="AD30" i="9" s="1"/>
  <c r="AD30" i="7"/>
  <c r="AD46" i="7"/>
  <c r="AC46" i="9"/>
  <c r="AD46" i="9" s="1"/>
  <c r="AD25" i="7"/>
  <c r="AC25" i="9"/>
  <c r="AD25" i="9" s="1"/>
  <c r="W53" i="7"/>
  <c r="W58" i="7" s="1"/>
  <c r="W26" i="8" s="1"/>
  <c r="V26" i="23" s="1"/>
  <c r="V78" i="23" s="1"/>
  <c r="W5" i="9"/>
  <c r="R18" i="12"/>
  <c r="S18" i="11"/>
  <c r="R18" i="13"/>
  <c r="S18" i="13" s="1"/>
  <c r="R37" i="12"/>
  <c r="S37" i="11"/>
  <c r="R37" i="13"/>
  <c r="S37" i="13" s="1"/>
  <c r="R16" i="13"/>
  <c r="S16" i="13" s="1"/>
  <c r="R16" i="12"/>
  <c r="S16" i="11"/>
  <c r="R35" i="12"/>
  <c r="S35" i="11"/>
  <c r="R35" i="13"/>
  <c r="S35" i="13" s="1"/>
  <c r="R41" i="12"/>
  <c r="S41" i="11"/>
  <c r="R41" i="13"/>
  <c r="S41" i="13" s="1"/>
  <c r="L32" i="9"/>
  <c r="L19" i="9"/>
  <c r="L16" i="9"/>
  <c r="L11" i="9"/>
  <c r="L18" i="9"/>
  <c r="L31" i="9"/>
  <c r="AH27" i="8"/>
  <c r="AD27" i="23" s="1"/>
  <c r="AD79" i="23" s="1"/>
  <c r="AH27" i="9"/>
  <c r="Q7" i="9"/>
  <c r="Q10" i="9"/>
  <c r="U11" i="9"/>
  <c r="U27" i="9"/>
  <c r="M15" i="24"/>
  <c r="M57" i="24" s="1"/>
  <c r="X5" i="9"/>
  <c r="X53" i="7"/>
  <c r="X58" i="7" s="1"/>
  <c r="X17" i="8" s="1"/>
  <c r="W17" i="23" s="1"/>
  <c r="W69" i="23" s="1"/>
  <c r="X24" i="9"/>
  <c r="X6" i="9"/>
  <c r="M22" i="12"/>
  <c r="M22" i="24" s="1"/>
  <c r="M64" i="24" s="1"/>
  <c r="M22" i="13"/>
  <c r="M40" i="12"/>
  <c r="M40" i="24" s="1"/>
  <c r="M82" i="24" s="1"/>
  <c r="M40" i="13"/>
  <c r="M32" i="12"/>
  <c r="M32" i="13"/>
  <c r="M26" i="12"/>
  <c r="M26" i="24" s="1"/>
  <c r="M68" i="24" s="1"/>
  <c r="M26" i="13"/>
  <c r="M9" i="12"/>
  <c r="M9" i="24" s="1"/>
  <c r="M51" i="24" s="1"/>
  <c r="M9" i="13"/>
  <c r="AC24" i="9"/>
  <c r="AD24" i="9" s="1"/>
  <c r="AD24" i="7"/>
  <c r="AD29" i="7"/>
  <c r="AC29" i="8"/>
  <c r="AC29" i="9"/>
  <c r="AD29" i="9" s="1"/>
  <c r="AD51" i="7"/>
  <c r="AC51" i="8"/>
  <c r="AC51" i="9"/>
  <c r="AD51" i="9" s="1"/>
  <c r="AD35" i="7"/>
  <c r="AC35" i="9"/>
  <c r="AD35" i="9" s="1"/>
  <c r="AC28" i="9"/>
  <c r="AD28" i="9" s="1"/>
  <c r="AD28" i="7"/>
  <c r="AC27" i="9"/>
  <c r="AD27" i="9" s="1"/>
  <c r="AD27" i="7"/>
  <c r="AC27" i="8"/>
  <c r="R10" i="12"/>
  <c r="S10" i="11"/>
  <c r="R10" i="13"/>
  <c r="S10" i="13" s="1"/>
  <c r="R23" i="12"/>
  <c r="S23" i="11"/>
  <c r="R23" i="13"/>
  <c r="S23" i="13" s="1"/>
  <c r="R29" i="13"/>
  <c r="S29" i="13" s="1"/>
  <c r="R29" i="12"/>
  <c r="S29" i="11"/>
  <c r="S7" i="11"/>
  <c r="R7" i="13"/>
  <c r="S7" i="13" s="1"/>
  <c r="R7" i="12"/>
  <c r="R19" i="12"/>
  <c r="S19" i="11"/>
  <c r="R19" i="13"/>
  <c r="S19" i="13" s="1"/>
  <c r="L17" i="9"/>
  <c r="L48" i="9"/>
  <c r="L10" i="9"/>
  <c r="L14" i="9"/>
  <c r="L20" i="9"/>
  <c r="L13" i="9"/>
  <c r="Q44" i="9"/>
  <c r="U25" i="9"/>
  <c r="X20" i="8"/>
  <c r="W20" i="23" s="1"/>
  <c r="W72" i="23" s="1"/>
  <c r="M37" i="24"/>
  <c r="M79" i="24" s="1"/>
  <c r="X25" i="9"/>
  <c r="X8" i="8"/>
  <c r="W8" i="23" s="1"/>
  <c r="W60" i="23" s="1"/>
  <c r="X8" i="9"/>
  <c r="X22" i="8"/>
  <c r="W22" i="23" s="1"/>
  <c r="W74" i="23" s="1"/>
  <c r="X22" i="9"/>
  <c r="M30" i="12"/>
  <c r="M30" i="24" s="1"/>
  <c r="M72" i="24" s="1"/>
  <c r="M30" i="13"/>
  <c r="M34" i="12"/>
  <c r="M34" i="13"/>
  <c r="M6" i="13"/>
  <c r="M6" i="12"/>
  <c r="M27" i="12"/>
  <c r="M27" i="24" s="1"/>
  <c r="M69" i="24" s="1"/>
  <c r="M27" i="13"/>
  <c r="M28" i="13"/>
  <c r="M28" i="12"/>
  <c r="M28" i="24" s="1"/>
  <c r="M70" i="24" s="1"/>
  <c r="AD50" i="7"/>
  <c r="AC50" i="8"/>
  <c r="AC50" i="9"/>
  <c r="AD50" i="9" s="1"/>
  <c r="AD9" i="7"/>
  <c r="AC9" i="8"/>
  <c r="AC9" i="9"/>
  <c r="AD9" i="9" s="1"/>
  <c r="AC8" i="8"/>
  <c r="AD8" i="7"/>
  <c r="AC8" i="9"/>
  <c r="AD8" i="9" s="1"/>
  <c r="AD34" i="7"/>
  <c r="AC34" i="9"/>
  <c r="AD34" i="9" s="1"/>
  <c r="AD13" i="7"/>
  <c r="AC13" i="8"/>
  <c r="AC13" i="9"/>
  <c r="AD13" i="9" s="1"/>
  <c r="P5" i="9"/>
  <c r="P53" i="9" s="1"/>
  <c r="P53" i="7"/>
  <c r="P58" i="7" s="1"/>
  <c r="R28" i="12"/>
  <c r="S28" i="11"/>
  <c r="R28" i="13"/>
  <c r="S28" i="13" s="1"/>
  <c r="R21" i="12"/>
  <c r="S21" i="11"/>
  <c r="R21" i="13"/>
  <c r="S21" i="13" s="1"/>
  <c r="R24" i="12"/>
  <c r="S24" i="11"/>
  <c r="R24" i="13"/>
  <c r="S24" i="13" s="1"/>
  <c r="S38" i="11"/>
  <c r="R38" i="13"/>
  <c r="S38" i="13" s="1"/>
  <c r="R38" i="12"/>
  <c r="S6" i="11"/>
  <c r="R6" i="13"/>
  <c r="S6" i="13" s="1"/>
  <c r="R6" i="12"/>
  <c r="O5" i="9"/>
  <c r="O53" i="9" s="1"/>
  <c r="O53" i="7"/>
  <c r="O58" i="7" s="1"/>
  <c r="L6" i="9"/>
  <c r="L36" i="9"/>
  <c r="L5" i="9"/>
  <c r="L53" i="7"/>
  <c r="L58" i="7" s="1"/>
  <c r="L11" i="8" s="1"/>
  <c r="L11" i="23" s="1"/>
  <c r="L63" i="23" s="1"/>
  <c r="L35" i="9"/>
  <c r="L15" i="9"/>
  <c r="V54" i="8"/>
  <c r="V58" i="8" s="1"/>
  <c r="V54" i="9"/>
  <c r="V54" i="7"/>
  <c r="Q53" i="7"/>
  <c r="Q58" i="7" s="1"/>
  <c r="Q40" i="8" s="1"/>
  <c r="Q40" i="23" s="1"/>
  <c r="Q92" i="23" s="1"/>
  <c r="Q5" i="9"/>
  <c r="U46" i="9"/>
  <c r="U45" i="9"/>
  <c r="U12" i="9"/>
  <c r="Z5" i="23"/>
  <c r="Z57" i="23" s="1"/>
  <c r="P9" i="25" s="1"/>
  <c r="AA53" i="8"/>
  <c r="Y5" i="23"/>
  <c r="Y57" i="23" s="1"/>
  <c r="Z53" i="8"/>
  <c r="T17" i="24"/>
  <c r="T59" i="24" s="1"/>
  <c r="N29" i="24"/>
  <c r="N71" i="24" s="1"/>
  <c r="L28" i="24"/>
  <c r="L70" i="24" s="1"/>
  <c r="N30" i="24"/>
  <c r="N72" i="24" s="1"/>
  <c r="S18" i="24"/>
  <c r="S60" i="24" s="1"/>
  <c r="V5" i="24"/>
  <c r="V47" i="24" s="1"/>
  <c r="T34" i="24"/>
  <c r="T76" i="24" s="1"/>
  <c r="S40" i="24"/>
  <c r="S82" i="24" s="1"/>
  <c r="S8" i="24"/>
  <c r="S50" i="24" s="1"/>
  <c r="S35" i="24"/>
  <c r="S77" i="24" s="1"/>
  <c r="T18" i="24"/>
  <c r="T60" i="24" s="1"/>
  <c r="X13" i="8"/>
  <c r="X13" i="9"/>
  <c r="M16" i="12"/>
  <c r="M16" i="24" s="1"/>
  <c r="M58" i="24" s="1"/>
  <c r="M16" i="13"/>
  <c r="M23" i="12"/>
  <c r="M23" i="24" s="1"/>
  <c r="M65" i="24" s="1"/>
  <c r="M23" i="13"/>
  <c r="M20" i="12"/>
  <c r="M20" i="13"/>
  <c r="M11" i="13"/>
  <c r="M11" i="12"/>
  <c r="M11" i="24" s="1"/>
  <c r="M53" i="24" s="1"/>
  <c r="AD40" i="7"/>
  <c r="AC40" i="8"/>
  <c r="AC40" i="9"/>
  <c r="AD40" i="9" s="1"/>
  <c r="AC6" i="9"/>
  <c r="AD6" i="9" s="1"/>
  <c r="AD6" i="7"/>
  <c r="AC6" i="8"/>
  <c r="AC31" i="9"/>
  <c r="AD31" i="9" s="1"/>
  <c r="AD31" i="7"/>
  <c r="AD26" i="7"/>
  <c r="AC26" i="9"/>
  <c r="AD26" i="9" s="1"/>
  <c r="AD11" i="7"/>
  <c r="AC11" i="9"/>
  <c r="AD11" i="9" s="1"/>
  <c r="AC20" i="9"/>
  <c r="AD20" i="9" s="1"/>
  <c r="AD20" i="7"/>
  <c r="W13" i="9"/>
  <c r="W13" i="8"/>
  <c r="V13" i="23" s="1"/>
  <c r="V65" i="23" s="1"/>
  <c r="R40" i="12"/>
  <c r="R40" i="13"/>
  <c r="S40" i="13" s="1"/>
  <c r="S40" i="11"/>
  <c r="S32" i="11"/>
  <c r="R32" i="12"/>
  <c r="R32" i="13"/>
  <c r="S32" i="13" s="1"/>
  <c r="R33" i="12"/>
  <c r="S33" i="11"/>
  <c r="R33" i="13"/>
  <c r="S33" i="13" s="1"/>
  <c r="R12" i="12"/>
  <c r="S12" i="11"/>
  <c r="R12" i="13"/>
  <c r="S12" i="13" s="1"/>
  <c r="S14" i="11"/>
  <c r="R14" i="13"/>
  <c r="S14" i="13" s="1"/>
  <c r="R14" i="12"/>
  <c r="L29" i="8"/>
  <c r="L29" i="23" s="1"/>
  <c r="L81" i="23" s="1"/>
  <c r="L29" i="9"/>
  <c r="L8" i="9"/>
  <c r="L8" i="8"/>
  <c r="L8" i="23" s="1"/>
  <c r="L60" i="23" s="1"/>
  <c r="L41" i="9"/>
  <c r="L34" i="8"/>
  <c r="L34" i="23" s="1"/>
  <c r="L86" i="23" s="1"/>
  <c r="L34" i="9"/>
  <c r="V41" i="7"/>
  <c r="V44" i="7"/>
  <c r="V46" i="7"/>
  <c r="V8" i="7"/>
  <c r="V8" i="9" s="1"/>
  <c r="V47" i="7"/>
  <c r="V50" i="7"/>
  <c r="V37" i="7"/>
  <c r="V40" i="7"/>
  <c r="V40" i="9" s="1"/>
  <c r="V42" i="7"/>
  <c r="V42" i="9" s="1"/>
  <c r="V31" i="7"/>
  <c r="V35" i="7"/>
  <c r="V49" i="7"/>
  <c r="V33" i="7"/>
  <c r="V36" i="7"/>
  <c r="V36" i="9" s="1"/>
  <c r="V38" i="7"/>
  <c r="V38" i="9" s="1"/>
  <c r="V11" i="7"/>
  <c r="V11" i="9" s="1"/>
  <c r="V20" i="7"/>
  <c r="V20" i="9" s="1"/>
  <c r="V48" i="7"/>
  <c r="V29" i="7"/>
  <c r="V32" i="7"/>
  <c r="V34" i="7"/>
  <c r="V24" i="7"/>
  <c r="V10" i="7"/>
  <c r="V26" i="7"/>
  <c r="V22" i="7"/>
  <c r="V21" i="7"/>
  <c r="V30" i="7"/>
  <c r="V7" i="7"/>
  <c r="V9" i="7"/>
  <c r="V19" i="7"/>
  <c r="V19" i="9" s="1"/>
  <c r="V15" i="7"/>
  <c r="V14" i="7"/>
  <c r="V23" i="7"/>
  <c r="V39" i="7"/>
  <c r="V39" i="9" s="1"/>
  <c r="V5" i="7"/>
  <c r="V12" i="7"/>
  <c r="V12" i="9" s="1"/>
  <c r="V25" i="7"/>
  <c r="V25" i="9" s="1"/>
  <c r="V28" i="7"/>
  <c r="V16" i="7"/>
  <c r="V17" i="7"/>
  <c r="V27" i="7"/>
  <c r="V27" i="9" s="1"/>
  <c r="V45" i="7"/>
  <c r="V45" i="9" s="1"/>
  <c r="V18" i="7"/>
  <c r="V51" i="7"/>
  <c r="V43" i="7"/>
  <c r="V43" i="9" s="1"/>
  <c r="V6" i="7"/>
  <c r="V13" i="7"/>
  <c r="Q22" i="8"/>
  <c r="Q22" i="9"/>
  <c r="X10" i="25"/>
  <c r="U39" i="9"/>
  <c r="U42" i="9"/>
  <c r="U43" i="9"/>
  <c r="P7" i="11"/>
  <c r="P18" i="11"/>
  <c r="P34" i="11"/>
  <c r="P32" i="11"/>
  <c r="P8" i="11"/>
  <c r="P37" i="11"/>
  <c r="P21" i="11"/>
  <c r="P17" i="11"/>
  <c r="P28" i="11"/>
  <c r="P13" i="11"/>
  <c r="P35" i="11"/>
  <c r="P30" i="11"/>
  <c r="P10" i="11"/>
  <c r="P24" i="11"/>
  <c r="P11" i="11"/>
  <c r="P27" i="11"/>
  <c r="P19" i="11"/>
  <c r="P6" i="11"/>
  <c r="P12" i="11"/>
  <c r="P22" i="11"/>
  <c r="P41" i="11"/>
  <c r="P29" i="11"/>
  <c r="P15" i="11"/>
  <c r="P20" i="11"/>
  <c r="P23" i="11"/>
  <c r="P39" i="11"/>
  <c r="P31" i="11"/>
  <c r="P26" i="11"/>
  <c r="P40" i="11"/>
  <c r="P25" i="11"/>
  <c r="P9" i="11"/>
  <c r="P38" i="11"/>
  <c r="P5" i="11"/>
  <c r="P33" i="11"/>
  <c r="P16" i="11"/>
  <c r="P36" i="11"/>
  <c r="P14" i="11"/>
  <c r="X14" i="8"/>
  <c r="W14" i="23" s="1"/>
  <c r="W66" i="23" s="1"/>
  <c r="X14" i="9"/>
  <c r="X26" i="8"/>
  <c r="W26" i="23" s="1"/>
  <c r="W78" i="23" s="1"/>
  <c r="X26" i="9"/>
  <c r="X15" i="8"/>
  <c r="X15" i="9"/>
  <c r="X28" i="8"/>
  <c r="X28" i="9"/>
  <c r="R5" i="9"/>
  <c r="R53" i="9" s="1"/>
  <c r="R53" i="7"/>
  <c r="M36" i="12"/>
  <c r="M36" i="24" s="1"/>
  <c r="M78" i="24" s="1"/>
  <c r="M36" i="13"/>
  <c r="M41" i="12"/>
  <c r="M41" i="13"/>
  <c r="M38" i="12"/>
  <c r="M38" i="13"/>
  <c r="M5" i="12"/>
  <c r="M43" i="11"/>
  <c r="M5" i="13"/>
  <c r="AD47" i="7"/>
  <c r="AC47" i="8"/>
  <c r="AC47" i="9"/>
  <c r="AD47" i="9" s="1"/>
  <c r="AD15" i="7"/>
  <c r="AC15" i="8"/>
  <c r="AC15" i="9"/>
  <c r="AD15" i="9" s="1"/>
  <c r="AD33" i="7"/>
  <c r="AC33" i="8"/>
  <c r="AC33" i="9"/>
  <c r="AD33" i="9" s="1"/>
  <c r="AD37" i="7"/>
  <c r="AC37" i="8"/>
  <c r="AC37" i="9"/>
  <c r="AD37" i="9" s="1"/>
  <c r="AC18" i="9"/>
  <c r="AD18" i="9" s="1"/>
  <c r="AD18" i="7"/>
  <c r="AD38" i="7"/>
  <c r="AC38" i="9"/>
  <c r="AD38" i="9" s="1"/>
  <c r="O9" i="11"/>
  <c r="O28" i="11"/>
  <c r="O13" i="11"/>
  <c r="O40" i="11"/>
  <c r="O37" i="11"/>
  <c r="O5" i="11"/>
  <c r="O29" i="11"/>
  <c r="O31" i="11"/>
  <c r="O39" i="11"/>
  <c r="O11" i="11"/>
  <c r="O10" i="11"/>
  <c r="O26" i="11"/>
  <c r="O16" i="11"/>
  <c r="O24" i="11"/>
  <c r="O12" i="11"/>
  <c r="O6" i="11"/>
  <c r="O19" i="11"/>
  <c r="O17" i="11"/>
  <c r="O32" i="11"/>
  <c r="O22" i="11"/>
  <c r="O15" i="11"/>
  <c r="O14" i="11"/>
  <c r="O36" i="11"/>
  <c r="O41" i="11"/>
  <c r="O23" i="11"/>
  <c r="O7" i="11"/>
  <c r="O27" i="11"/>
  <c r="O38" i="11"/>
  <c r="O30" i="11"/>
  <c r="O8" i="11"/>
  <c r="O33" i="11"/>
  <c r="O20" i="11"/>
  <c r="O25" i="11"/>
  <c r="O18" i="11"/>
  <c r="O34" i="11"/>
  <c r="O21" i="11"/>
  <c r="O35" i="11"/>
  <c r="R20" i="13"/>
  <c r="S20" i="13" s="1"/>
  <c r="R20" i="12"/>
  <c r="S20" i="11"/>
  <c r="R34" i="12"/>
  <c r="S34" i="11"/>
  <c r="R34" i="13"/>
  <c r="S34" i="13" s="1"/>
  <c r="S8" i="11"/>
  <c r="R8" i="13"/>
  <c r="S8" i="13" s="1"/>
  <c r="R8" i="12"/>
  <c r="R39" i="12"/>
  <c r="S39" i="11"/>
  <c r="R39" i="13"/>
  <c r="S39" i="13" s="1"/>
  <c r="S30" i="11"/>
  <c r="R30" i="13"/>
  <c r="S30" i="13" s="1"/>
  <c r="R30" i="12"/>
  <c r="L9" i="8"/>
  <c r="L9" i="9"/>
  <c r="L26" i="8"/>
  <c r="L26" i="23" s="1"/>
  <c r="L78" i="23" s="1"/>
  <c r="L26" i="9"/>
  <c r="L7" i="8"/>
  <c r="L7" i="23" s="1"/>
  <c r="L59" i="23" s="1"/>
  <c r="L7" i="9"/>
  <c r="L46" i="8"/>
  <c r="L46" i="23" s="1"/>
  <c r="L98" i="23" s="1"/>
  <c r="L46" i="9"/>
  <c r="L37" i="8"/>
  <c r="L37" i="9"/>
  <c r="Y60" i="6"/>
  <c r="Y54" i="9"/>
  <c r="Y54" i="7"/>
  <c r="Y54" i="8"/>
  <c r="Y58" i="8" s="1"/>
  <c r="M6" i="26"/>
  <c r="Q38" i="8"/>
  <c r="Q38" i="9"/>
  <c r="Q30" i="8"/>
  <c r="Q30" i="23" s="1"/>
  <c r="Q82" i="23" s="1"/>
  <c r="Q30" i="9"/>
  <c r="Q11" i="9"/>
  <c r="Q11" i="8"/>
  <c r="X6" i="25"/>
  <c r="U20" i="9"/>
  <c r="U18" i="9"/>
  <c r="U40" i="9"/>
  <c r="T25" i="24"/>
  <c r="T67" i="24" s="1"/>
  <c r="S6" i="24"/>
  <c r="S48" i="24" s="1"/>
  <c r="T12" i="24"/>
  <c r="T54" i="24" s="1"/>
  <c r="X7" i="8"/>
  <c r="X7" i="9"/>
  <c r="X27" i="8"/>
  <c r="W27" i="23" s="1"/>
  <c r="W79" i="23" s="1"/>
  <c r="X27" i="9"/>
  <c r="X18" i="8"/>
  <c r="W18" i="23" s="1"/>
  <c r="W70" i="23" s="1"/>
  <c r="X18" i="9"/>
  <c r="M18" i="13"/>
  <c r="M18" i="12"/>
  <c r="M18" i="24" s="1"/>
  <c r="M60" i="24" s="1"/>
  <c r="M13" i="13"/>
  <c r="M13" i="12"/>
  <c r="M13" i="24" s="1"/>
  <c r="M55" i="24" s="1"/>
  <c r="M35" i="12"/>
  <c r="M35" i="24" s="1"/>
  <c r="M77" i="24" s="1"/>
  <c r="M35" i="13"/>
  <c r="M19" i="12"/>
  <c r="M19" i="24" s="1"/>
  <c r="M61" i="24" s="1"/>
  <c r="M19" i="13"/>
  <c r="AC17" i="9"/>
  <c r="AD17" i="9" s="1"/>
  <c r="AC17" i="8"/>
  <c r="AD17" i="7"/>
  <c r="AC43" i="8"/>
  <c r="AC43" i="9"/>
  <c r="AD43" i="9" s="1"/>
  <c r="AD43" i="7"/>
  <c r="AD7" i="7"/>
  <c r="AC7" i="9"/>
  <c r="AD7" i="9" s="1"/>
  <c r="AD36" i="7"/>
  <c r="AC36" i="9"/>
  <c r="AD36" i="9" s="1"/>
  <c r="AD19" i="7"/>
  <c r="AC19" i="9"/>
  <c r="AD19" i="9" s="1"/>
  <c r="AC42" i="8"/>
  <c r="AC42" i="9"/>
  <c r="AD42" i="9" s="1"/>
  <c r="AD42" i="7"/>
  <c r="W16" i="8"/>
  <c r="V16" i="23" s="1"/>
  <c r="V68" i="23" s="1"/>
  <c r="W16" i="9"/>
  <c r="W50" i="8"/>
  <c r="V50" i="23" s="1"/>
  <c r="V102" i="23" s="1"/>
  <c r="W50" i="9"/>
  <c r="R31" i="12"/>
  <c r="S31" i="11"/>
  <c r="R31" i="13"/>
  <c r="S31" i="13" s="1"/>
  <c r="S25" i="11"/>
  <c r="R25" i="13"/>
  <c r="S25" i="13" s="1"/>
  <c r="R25" i="12"/>
  <c r="R5" i="12"/>
  <c r="S5" i="11"/>
  <c r="R5" i="13"/>
  <c r="R43" i="11"/>
  <c r="R15" i="12"/>
  <c r="S15" i="11"/>
  <c r="R15" i="13"/>
  <c r="S15" i="13" s="1"/>
  <c r="L22" i="8"/>
  <c r="L22" i="9"/>
  <c r="L42" i="8"/>
  <c r="L42" i="9"/>
  <c r="L49" i="8"/>
  <c r="L49" i="23" s="1"/>
  <c r="L101" i="23" s="1"/>
  <c r="L49" i="9"/>
  <c r="L28" i="8"/>
  <c r="L28" i="23" s="1"/>
  <c r="L80" i="23" s="1"/>
  <c r="L28" i="9"/>
  <c r="L39" i="8"/>
  <c r="L39" i="9"/>
  <c r="L40" i="8"/>
  <c r="L40" i="9"/>
  <c r="M10" i="26"/>
  <c r="Q34" i="9"/>
  <c r="Q34" i="8"/>
  <c r="Q51" i="8"/>
  <c r="Q51" i="23" s="1"/>
  <c r="Q103" i="23" s="1"/>
  <c r="Q51" i="9"/>
  <c r="X8" i="25"/>
  <c r="U19" i="9"/>
  <c r="U38" i="9"/>
  <c r="U8" i="9"/>
  <c r="D9" i="26"/>
  <c r="J11" i="26"/>
  <c r="AI17" i="8"/>
  <c r="AE17" i="23" s="1"/>
  <c r="AE69" i="23" s="1"/>
  <c r="V41" i="24"/>
  <c r="V83" i="24" s="1"/>
  <c r="V9" i="24"/>
  <c r="V51" i="24" s="1"/>
  <c r="V28" i="24"/>
  <c r="V70" i="24" s="1"/>
  <c r="S13" i="24"/>
  <c r="S55" i="24" s="1"/>
  <c r="V23" i="24"/>
  <c r="V65" i="24" s="1"/>
  <c r="V15" i="24"/>
  <c r="V57" i="24" s="1"/>
  <c r="T19" i="24"/>
  <c r="T61" i="24" s="1"/>
  <c r="E42" i="5"/>
  <c r="E21" i="5"/>
  <c r="AI30" i="8"/>
  <c r="AE30" i="23" s="1"/>
  <c r="AE82" i="23" s="1"/>
  <c r="AI9" i="8"/>
  <c r="AE9" i="23" s="1"/>
  <c r="AE61" i="23" s="1"/>
  <c r="AI22" i="8"/>
  <c r="AE22" i="23" s="1"/>
  <c r="AE74" i="23" s="1"/>
  <c r="AI16" i="8"/>
  <c r="AE16" i="23" s="1"/>
  <c r="AE68" i="23" s="1"/>
  <c r="V24" i="24"/>
  <c r="V66" i="24" s="1"/>
  <c r="V29" i="24"/>
  <c r="V71" i="24" s="1"/>
  <c r="V32" i="24"/>
  <c r="V74" i="24" s="1"/>
  <c r="V19" i="24"/>
  <c r="V61" i="24" s="1"/>
  <c r="V18" i="24"/>
  <c r="V60" i="24" s="1"/>
  <c r="S5" i="24"/>
  <c r="S47" i="24" s="1"/>
  <c r="V12" i="24"/>
  <c r="V54" i="24" s="1"/>
  <c r="V20" i="24"/>
  <c r="V62" i="24" s="1"/>
  <c r="V25" i="24"/>
  <c r="V67" i="24" s="1"/>
  <c r="V34" i="24"/>
  <c r="V76" i="24" s="1"/>
  <c r="V7" i="24"/>
  <c r="V49" i="24" s="1"/>
  <c r="L19" i="24"/>
  <c r="L61" i="24" s="1"/>
  <c r="V16" i="24"/>
  <c r="V58" i="24" s="1"/>
  <c r="S37" i="24"/>
  <c r="S79" i="24" s="1"/>
  <c r="V17" i="24"/>
  <c r="V59" i="24" s="1"/>
  <c r="S34" i="24"/>
  <c r="S76" i="24" s="1"/>
  <c r="V27" i="24"/>
  <c r="V69" i="24" s="1"/>
  <c r="L12" i="24"/>
  <c r="L54" i="24" s="1"/>
  <c r="S26" i="24"/>
  <c r="S68" i="24" s="1"/>
  <c r="V22" i="24"/>
  <c r="V64" i="24" s="1"/>
  <c r="V30" i="24"/>
  <c r="V72" i="24" s="1"/>
  <c r="V21" i="24"/>
  <c r="V63" i="24" s="1"/>
  <c r="AI7" i="8"/>
  <c r="AE7" i="23" s="1"/>
  <c r="AE59" i="23" s="1"/>
  <c r="V38" i="24"/>
  <c r="V80" i="24" s="1"/>
  <c r="V36" i="24"/>
  <c r="V78" i="24" s="1"/>
  <c r="L24" i="24"/>
  <c r="L66" i="24" s="1"/>
  <c r="V37" i="24"/>
  <c r="V79" i="24" s="1"/>
  <c r="V35" i="24"/>
  <c r="V77" i="24" s="1"/>
  <c r="V26" i="24"/>
  <c r="V68" i="24" s="1"/>
  <c r="AI18" i="8"/>
  <c r="AE18" i="23" s="1"/>
  <c r="AE70" i="23" s="1"/>
  <c r="AI51" i="8"/>
  <c r="AE51" i="23" s="1"/>
  <c r="AE103" i="23" s="1"/>
  <c r="AI46" i="8"/>
  <c r="AE46" i="23" s="1"/>
  <c r="AE98" i="23" s="1"/>
  <c r="V8" i="24"/>
  <c r="V50" i="24" s="1"/>
  <c r="V13" i="24"/>
  <c r="V55" i="24" s="1"/>
  <c r="S28" i="24"/>
  <c r="S70" i="24" s="1"/>
  <c r="V33" i="24"/>
  <c r="V75" i="24" s="1"/>
  <c r="S39" i="24"/>
  <c r="S81" i="24" s="1"/>
  <c r="T14" i="24"/>
  <c r="T56" i="24" s="1"/>
  <c r="L6" i="24"/>
  <c r="L48" i="24" s="1"/>
  <c r="B9" i="26" s="1"/>
  <c r="S20" i="24"/>
  <c r="S62" i="24" s="1"/>
  <c r="N32" i="24"/>
  <c r="N74" i="24" s="1"/>
  <c r="D7" i="26" s="1"/>
  <c r="D13" i="26" s="1"/>
  <c r="V39" i="24"/>
  <c r="V81" i="24" s="1"/>
  <c r="V14" i="24"/>
  <c r="V56" i="24" s="1"/>
  <c r="V31" i="24"/>
  <c r="V73" i="24" s="1"/>
  <c r="L11" i="24"/>
  <c r="L53" i="24" s="1"/>
  <c r="S25" i="24"/>
  <c r="S67" i="24" s="1"/>
  <c r="S21" i="24"/>
  <c r="S63" i="24" s="1"/>
  <c r="V6" i="24"/>
  <c r="V48" i="24" s="1"/>
  <c r="L9" i="26" s="1"/>
  <c r="S17" i="24"/>
  <c r="S59" i="24" s="1"/>
  <c r="AI19" i="8"/>
  <c r="AE19" i="23" s="1"/>
  <c r="AE71" i="23" s="1"/>
  <c r="AI32" i="8"/>
  <c r="AE32" i="23" s="1"/>
  <c r="AE84" i="23" s="1"/>
  <c r="S29" i="24"/>
  <c r="S71" i="24" s="1"/>
  <c r="V11" i="24"/>
  <c r="V53" i="24" s="1"/>
  <c r="V10" i="24"/>
  <c r="V52" i="24" s="1"/>
  <c r="S41" i="24"/>
  <c r="S83" i="24" s="1"/>
  <c r="V40" i="24"/>
  <c r="V82" i="24" s="1"/>
  <c r="N43" i="13"/>
  <c r="AI11" i="8"/>
  <c r="AE11" i="23" s="1"/>
  <c r="AE63" i="23" s="1"/>
  <c r="AI37" i="8"/>
  <c r="AE37" i="23" s="1"/>
  <c r="AE89" i="23" s="1"/>
  <c r="AI38" i="8"/>
  <c r="AE38" i="23" s="1"/>
  <c r="AE90" i="23" s="1"/>
  <c r="Q45" i="13"/>
  <c r="Q45" i="12"/>
  <c r="Q45" i="10"/>
  <c r="Q45" i="11"/>
  <c r="AI49" i="8"/>
  <c r="AE49" i="23" s="1"/>
  <c r="AE101" i="23" s="1"/>
  <c r="V43" i="13"/>
  <c r="AI13" i="8"/>
  <c r="AE13" i="23" s="1"/>
  <c r="AE65" i="23" s="1"/>
  <c r="AI43" i="8"/>
  <c r="AE43" i="23" s="1"/>
  <c r="AE95" i="23" s="1"/>
  <c r="V43" i="12"/>
  <c r="AI41" i="8"/>
  <c r="AE41" i="23" s="1"/>
  <c r="AE93" i="23" s="1"/>
  <c r="AI53" i="9"/>
  <c r="AI40" i="8"/>
  <c r="AE40" i="23" s="1"/>
  <c r="AE92" i="23" s="1"/>
  <c r="AI8" i="8"/>
  <c r="AE8" i="23" s="1"/>
  <c r="AE60" i="23" s="1"/>
  <c r="U43" i="13"/>
  <c r="AI34" i="8"/>
  <c r="AE34" i="23" s="1"/>
  <c r="AE86" i="23" s="1"/>
  <c r="AI28" i="8"/>
  <c r="AE28" i="23" s="1"/>
  <c r="AE80" i="23" s="1"/>
  <c r="AI50" i="8"/>
  <c r="AE50" i="23" s="1"/>
  <c r="AE102" i="23" s="1"/>
  <c r="T57" i="6"/>
  <c r="T55" i="9"/>
  <c r="T55" i="8"/>
  <c r="T55" i="7"/>
  <c r="L43" i="13"/>
  <c r="T58" i="6"/>
  <c r="T56" i="9"/>
  <c r="T56" i="8"/>
  <c r="T56" i="7"/>
  <c r="L43" i="12"/>
  <c r="AI5" i="8"/>
  <c r="AE5" i="23" s="1"/>
  <c r="AE57" i="23" s="1"/>
  <c r="AA5" i="13"/>
  <c r="AA43" i="13" s="1"/>
  <c r="Z43" i="13"/>
  <c r="AI21" i="8"/>
  <c r="AE21" i="23" s="1"/>
  <c r="AE73" i="23" s="1"/>
  <c r="U43" i="12"/>
  <c r="N43" i="12"/>
  <c r="AI27" i="8"/>
  <c r="AE27" i="23" s="1"/>
  <c r="AE79" i="23" s="1"/>
  <c r="AI35" i="8"/>
  <c r="AE35" i="23" s="1"/>
  <c r="AE87" i="23" s="1"/>
  <c r="AA43" i="11"/>
  <c r="AM56" i="6"/>
  <c r="AM54" i="9"/>
  <c r="AM54" i="7"/>
  <c r="AM54" i="8" s="1"/>
  <c r="F46" i="5"/>
  <c r="Q46" i="13"/>
  <c r="Q46" i="12"/>
  <c r="Q46" i="11"/>
  <c r="Q46" i="10"/>
  <c r="AA5" i="12"/>
  <c r="AA43" i="12" s="1"/>
  <c r="Z43" i="12"/>
  <c r="AI14" i="8"/>
  <c r="AE14" i="23" s="1"/>
  <c r="AE66" i="23" s="1"/>
  <c r="F29" i="5"/>
  <c r="F47" i="5"/>
  <c r="J15" i="26" l="1"/>
  <c r="J14" i="26"/>
  <c r="P15" i="25"/>
  <c r="Q5" i="24"/>
  <c r="Q47" i="24" s="1"/>
  <c r="S5" i="12"/>
  <c r="R43" i="12"/>
  <c r="AA17" i="23"/>
  <c r="AA69" i="23" s="1"/>
  <c r="AD17" i="8"/>
  <c r="Q34" i="11"/>
  <c r="O34" i="12"/>
  <c r="O34" i="13"/>
  <c r="Q34" i="13" s="1"/>
  <c r="O27" i="12"/>
  <c r="O27" i="13"/>
  <c r="Q27" i="11"/>
  <c r="O32" i="12"/>
  <c r="O32" i="13"/>
  <c r="Q32" i="11"/>
  <c r="O10" i="12"/>
  <c r="O10" i="13"/>
  <c r="Q10" i="11"/>
  <c r="AB10" i="11" s="1"/>
  <c r="O13" i="12"/>
  <c r="Q13" i="11"/>
  <c r="O13" i="13"/>
  <c r="AD37" i="8"/>
  <c r="AA37" i="23"/>
  <c r="AA89" i="23" s="1"/>
  <c r="P16" i="12"/>
  <c r="P16" i="24" s="1"/>
  <c r="P58" i="24" s="1"/>
  <c r="P16" i="13"/>
  <c r="P31" i="12"/>
  <c r="P31" i="24" s="1"/>
  <c r="P73" i="24" s="1"/>
  <c r="P31" i="13"/>
  <c r="P12" i="12"/>
  <c r="P12" i="24" s="1"/>
  <c r="P54" i="24" s="1"/>
  <c r="P12" i="13"/>
  <c r="P35" i="12"/>
  <c r="P35" i="13"/>
  <c r="P34" i="13"/>
  <c r="P34" i="12"/>
  <c r="V51" i="9"/>
  <c r="V7" i="9"/>
  <c r="V32" i="9"/>
  <c r="V49" i="9"/>
  <c r="L36" i="8"/>
  <c r="L36" i="23" s="1"/>
  <c r="L88" i="23" s="1"/>
  <c r="S38" i="12"/>
  <c r="Q38" i="24"/>
  <c r="Q80" i="24" s="1"/>
  <c r="S21" i="12"/>
  <c r="Q21" i="24"/>
  <c r="Q63" i="24" s="1"/>
  <c r="L31" i="8"/>
  <c r="L31" i="23" s="1"/>
  <c r="L83" i="23" s="1"/>
  <c r="L19" i="8"/>
  <c r="L19" i="23" s="1"/>
  <c r="L71" i="23" s="1"/>
  <c r="S35" i="12"/>
  <c r="Q35" i="24"/>
  <c r="Q77" i="24" s="1"/>
  <c r="AC11" i="8"/>
  <c r="AC28" i="8"/>
  <c r="AC39" i="8"/>
  <c r="AC30" i="8"/>
  <c r="AC34" i="8"/>
  <c r="AC14" i="8"/>
  <c r="AC19" i="8"/>
  <c r="AC49" i="8"/>
  <c r="AC38" i="8"/>
  <c r="AC20" i="8"/>
  <c r="AC26" i="8"/>
  <c r="AC48" i="8"/>
  <c r="AC46" i="8"/>
  <c r="AC31" i="8"/>
  <c r="AC36" i="8"/>
  <c r="AC5" i="8"/>
  <c r="AC35" i="8"/>
  <c r="AC18" i="8"/>
  <c r="AC44" i="8"/>
  <c r="AC7" i="8"/>
  <c r="T41" i="12"/>
  <c r="T41" i="13"/>
  <c r="W41" i="13" s="1"/>
  <c r="W41" i="11"/>
  <c r="T23" i="12"/>
  <c r="W23" i="12" s="1"/>
  <c r="T23" i="13"/>
  <c r="W23" i="13" s="1"/>
  <c r="W23" i="11"/>
  <c r="T13" i="12"/>
  <c r="T13" i="13"/>
  <c r="W13" i="13" s="1"/>
  <c r="W13" i="11"/>
  <c r="T29" i="12"/>
  <c r="W29" i="12" s="1"/>
  <c r="W29" i="11"/>
  <c r="T29" i="13"/>
  <c r="W29" i="13" s="1"/>
  <c r="T11" i="12"/>
  <c r="T11" i="13"/>
  <c r="W11" i="13" s="1"/>
  <c r="W11" i="11"/>
  <c r="AC23" i="8"/>
  <c r="Q23" i="8"/>
  <c r="Q23" i="23" s="1"/>
  <c r="Q75" i="23" s="1"/>
  <c r="M53" i="7"/>
  <c r="M58" i="7" s="1"/>
  <c r="M5" i="9"/>
  <c r="L50" i="8"/>
  <c r="L50" i="23" s="1"/>
  <c r="L102" i="23" s="1"/>
  <c r="S26" i="12"/>
  <c r="Q26" i="24"/>
  <c r="Q68" i="24" s="1"/>
  <c r="AC45" i="8"/>
  <c r="M7" i="24"/>
  <c r="M49" i="24" s="1"/>
  <c r="L39" i="23"/>
  <c r="L91" i="23" s="1"/>
  <c r="L22" i="23"/>
  <c r="L74" i="23" s="1"/>
  <c r="S25" i="12"/>
  <c r="Q25" i="24"/>
  <c r="Q67" i="24" s="1"/>
  <c r="O18" i="12"/>
  <c r="Q18" i="11"/>
  <c r="O18" i="13"/>
  <c r="Q7" i="11"/>
  <c r="AB7" i="11" s="1"/>
  <c r="O7" i="12"/>
  <c r="O7" i="13"/>
  <c r="Q17" i="11"/>
  <c r="O17" i="12"/>
  <c r="O17" i="13"/>
  <c r="O11" i="12"/>
  <c r="O11" i="24" s="1"/>
  <c r="O53" i="24" s="1"/>
  <c r="O11" i="13"/>
  <c r="Q11" i="11"/>
  <c r="AB11" i="11" s="1"/>
  <c r="O28" i="13"/>
  <c r="Q28" i="11"/>
  <c r="O28" i="12"/>
  <c r="AD47" i="8"/>
  <c r="AA47" i="23"/>
  <c r="AA99" i="23" s="1"/>
  <c r="M41" i="24"/>
  <c r="M83" i="24" s="1"/>
  <c r="W15" i="23"/>
  <c r="W67" i="23" s="1"/>
  <c r="P33" i="12"/>
  <c r="P33" i="24" s="1"/>
  <c r="P75" i="24" s="1"/>
  <c r="P33" i="13"/>
  <c r="P39" i="12"/>
  <c r="P39" i="24" s="1"/>
  <c r="P81" i="24" s="1"/>
  <c r="P39" i="13"/>
  <c r="P6" i="12"/>
  <c r="P6" i="13"/>
  <c r="P13" i="12"/>
  <c r="P13" i="24" s="1"/>
  <c r="P55" i="24" s="1"/>
  <c r="P13" i="13"/>
  <c r="P18" i="12"/>
  <c r="P18" i="24" s="1"/>
  <c r="P60" i="24" s="1"/>
  <c r="P18" i="13"/>
  <c r="V18" i="9"/>
  <c r="V5" i="9"/>
  <c r="V53" i="7"/>
  <c r="V58" i="7" s="1"/>
  <c r="V30" i="9"/>
  <c r="V29" i="9"/>
  <c r="V35" i="9"/>
  <c r="V46" i="9"/>
  <c r="S12" i="12"/>
  <c r="Q12" i="24"/>
  <c r="Q54" i="24" s="1"/>
  <c r="AD40" i="8"/>
  <c r="AA40" i="23"/>
  <c r="AA92" i="23" s="1"/>
  <c r="M6" i="24"/>
  <c r="M48" i="24" s="1"/>
  <c r="L14" i="8"/>
  <c r="L14" i="23" s="1"/>
  <c r="L66" i="23" s="1"/>
  <c r="L32" i="8"/>
  <c r="L32" i="23" s="1"/>
  <c r="L84" i="23" s="1"/>
  <c r="S18" i="12"/>
  <c r="Q18" i="24"/>
  <c r="Q60" i="24" s="1"/>
  <c r="AD5" i="9"/>
  <c r="AD53" i="9" s="1"/>
  <c r="AC53" i="9"/>
  <c r="M21" i="24"/>
  <c r="M63" i="24" s="1"/>
  <c r="X29" i="8"/>
  <c r="W29" i="23" s="1"/>
  <c r="W81" i="23" s="1"/>
  <c r="T36" i="12"/>
  <c r="W36" i="12" s="1"/>
  <c r="T36" i="13"/>
  <c r="W36" i="13" s="1"/>
  <c r="W36" i="11"/>
  <c r="T27" i="12"/>
  <c r="T27" i="13"/>
  <c r="W27" i="13" s="1"/>
  <c r="W27" i="11"/>
  <c r="T14" i="12"/>
  <c r="W14" i="12" s="1"/>
  <c r="T14" i="13"/>
  <c r="W14" i="13" s="1"/>
  <c r="R14" i="24"/>
  <c r="R56" i="24" s="1"/>
  <c r="W14" i="11"/>
  <c r="T34" i="13"/>
  <c r="W34" i="13" s="1"/>
  <c r="T34" i="12"/>
  <c r="W34" i="11"/>
  <c r="T10" i="12"/>
  <c r="W10" i="12" s="1"/>
  <c r="T10" i="13"/>
  <c r="W10" i="13" s="1"/>
  <c r="W10" i="11"/>
  <c r="L12" i="8"/>
  <c r="L12" i="23" s="1"/>
  <c r="L64" i="23" s="1"/>
  <c r="AC16" i="8"/>
  <c r="M33" i="24"/>
  <c r="M75" i="24" s="1"/>
  <c r="M47" i="9"/>
  <c r="M7" i="9"/>
  <c r="L23" i="8"/>
  <c r="L23" i="23" s="1"/>
  <c r="L75" i="23" s="1"/>
  <c r="Q11" i="23"/>
  <c r="Q63" i="23" s="1"/>
  <c r="Q34" i="24"/>
  <c r="Q76" i="24" s="1"/>
  <c r="S34" i="12"/>
  <c r="Q25" i="11"/>
  <c r="O25" i="12"/>
  <c r="O25" i="13"/>
  <c r="O23" i="12"/>
  <c r="Q23" i="11"/>
  <c r="AB23" i="11" s="1"/>
  <c r="O23" i="13"/>
  <c r="Q23" i="13" s="1"/>
  <c r="O19" i="12"/>
  <c r="O19" i="13"/>
  <c r="Q19" i="13" s="1"/>
  <c r="Q19" i="11"/>
  <c r="AB19" i="11" s="1"/>
  <c r="O39" i="12"/>
  <c r="O39" i="13"/>
  <c r="Q39" i="13" s="1"/>
  <c r="Q39" i="11"/>
  <c r="Q9" i="11"/>
  <c r="O9" i="12"/>
  <c r="O9" i="13"/>
  <c r="Q9" i="13" s="1"/>
  <c r="P5" i="12"/>
  <c r="P43" i="11"/>
  <c r="P5" i="13"/>
  <c r="P23" i="12"/>
  <c r="P23" i="13"/>
  <c r="P19" i="12"/>
  <c r="P19" i="24" s="1"/>
  <c r="P61" i="24" s="1"/>
  <c r="P19" i="13"/>
  <c r="P28" i="12"/>
  <c r="P28" i="24" s="1"/>
  <c r="P70" i="24" s="1"/>
  <c r="P28" i="13"/>
  <c r="P7" i="12"/>
  <c r="P7" i="24" s="1"/>
  <c r="P49" i="24" s="1"/>
  <c r="P7" i="13"/>
  <c r="P14" i="25"/>
  <c r="AB21" i="7"/>
  <c r="V21" i="9"/>
  <c r="V48" i="9"/>
  <c r="V31" i="9"/>
  <c r="AB31" i="7"/>
  <c r="V44" i="9"/>
  <c r="S40" i="12"/>
  <c r="Q40" i="24"/>
  <c r="Q82" i="24" s="1"/>
  <c r="L15" i="8"/>
  <c r="L15" i="23" s="1"/>
  <c r="L67" i="23" s="1"/>
  <c r="L6" i="8"/>
  <c r="L6" i="23" s="1"/>
  <c r="L58" i="23" s="1"/>
  <c r="AD50" i="8"/>
  <c r="AA50" i="23"/>
  <c r="AA102" i="23" s="1"/>
  <c r="S19" i="12"/>
  <c r="Q19" i="24"/>
  <c r="Q61" i="24" s="1"/>
  <c r="AD29" i="8"/>
  <c r="AA29" i="23"/>
  <c r="AA81" i="23" s="1"/>
  <c r="X6" i="8"/>
  <c r="W6" i="23" s="1"/>
  <c r="W58" i="23" s="1"/>
  <c r="Q10" i="8"/>
  <c r="Q10" i="23" s="1"/>
  <c r="Q62" i="23" s="1"/>
  <c r="L18" i="8"/>
  <c r="L18" i="23" s="1"/>
  <c r="L70" i="23" s="1"/>
  <c r="S16" i="12"/>
  <c r="Q16" i="24"/>
  <c r="Q58" i="24" s="1"/>
  <c r="W53" i="9"/>
  <c r="T16" i="12"/>
  <c r="T16" i="13"/>
  <c r="W16" i="13" s="1"/>
  <c r="W16" i="11"/>
  <c r="T31" i="13"/>
  <c r="W31" i="13" s="1"/>
  <c r="T31" i="12"/>
  <c r="W31" i="12" s="1"/>
  <c r="R31" i="24"/>
  <c r="R73" i="24" s="1"/>
  <c r="W31" i="11"/>
  <c r="T22" i="12"/>
  <c r="T22" i="13"/>
  <c r="W22" i="13" s="1"/>
  <c r="W22" i="11"/>
  <c r="T19" i="12"/>
  <c r="T19" i="13"/>
  <c r="W19" i="13" s="1"/>
  <c r="W19" i="11"/>
  <c r="S9" i="12"/>
  <c r="Q9" i="24"/>
  <c r="Q51" i="24" s="1"/>
  <c r="AC12" i="8"/>
  <c r="M17" i="24"/>
  <c r="M59" i="24" s="1"/>
  <c r="Q34" i="23"/>
  <c r="Q86" i="23" s="1"/>
  <c r="O20" i="12"/>
  <c r="O20" i="13"/>
  <c r="Q20" i="13" s="1"/>
  <c r="Q20" i="11"/>
  <c r="Q41" i="11"/>
  <c r="AB41" i="11" s="1"/>
  <c r="O41" i="12"/>
  <c r="O41" i="13"/>
  <c r="O6" i="12"/>
  <c r="O6" i="24" s="1"/>
  <c r="O48" i="24" s="1"/>
  <c r="O6" i="13"/>
  <c r="Q6" i="13" s="1"/>
  <c r="Q6" i="11"/>
  <c r="O31" i="12"/>
  <c r="Q31" i="11"/>
  <c r="O31" i="13"/>
  <c r="Q31" i="13" s="1"/>
  <c r="AD33" i="8"/>
  <c r="AA33" i="23"/>
  <c r="AA85" i="23" s="1"/>
  <c r="M43" i="13"/>
  <c r="P38" i="12"/>
  <c r="P38" i="13"/>
  <c r="P20" i="12"/>
  <c r="P20" i="24" s="1"/>
  <c r="P62" i="24" s="1"/>
  <c r="P20" i="13"/>
  <c r="P27" i="12"/>
  <c r="P27" i="24" s="1"/>
  <c r="P69" i="24" s="1"/>
  <c r="P27" i="13"/>
  <c r="P17" i="12"/>
  <c r="P17" i="13"/>
  <c r="V23" i="9"/>
  <c r="V22" i="9"/>
  <c r="V41" i="9"/>
  <c r="O7" i="25"/>
  <c r="O13" i="25" s="1"/>
  <c r="O9" i="25"/>
  <c r="O14" i="25" s="1"/>
  <c r="O11" i="25"/>
  <c r="O33" i="8"/>
  <c r="O33" i="23" s="1"/>
  <c r="O85" i="23" s="1"/>
  <c r="O46" i="8"/>
  <c r="O46" i="23" s="1"/>
  <c r="O98" i="23" s="1"/>
  <c r="O44" i="8"/>
  <c r="O44" i="23" s="1"/>
  <c r="O96" i="23" s="1"/>
  <c r="O10" i="8"/>
  <c r="O10" i="23" s="1"/>
  <c r="O62" i="23" s="1"/>
  <c r="O35" i="8"/>
  <c r="O35" i="23" s="1"/>
  <c r="O87" i="23" s="1"/>
  <c r="O17" i="8"/>
  <c r="O17" i="23" s="1"/>
  <c r="O69" i="23" s="1"/>
  <c r="O18" i="8"/>
  <c r="O18" i="23" s="1"/>
  <c r="O70" i="23" s="1"/>
  <c r="O21" i="8"/>
  <c r="O21" i="23" s="1"/>
  <c r="O73" i="23" s="1"/>
  <c r="O37" i="8"/>
  <c r="O37" i="23" s="1"/>
  <c r="O89" i="23" s="1"/>
  <c r="O34" i="8"/>
  <c r="O34" i="23" s="1"/>
  <c r="O86" i="23" s="1"/>
  <c r="O42" i="8"/>
  <c r="O42" i="23" s="1"/>
  <c r="O94" i="23" s="1"/>
  <c r="O40" i="8"/>
  <c r="O40" i="23" s="1"/>
  <c r="O92" i="23" s="1"/>
  <c r="O51" i="8"/>
  <c r="O51" i="23" s="1"/>
  <c r="O103" i="23" s="1"/>
  <c r="O45" i="8"/>
  <c r="O45" i="23" s="1"/>
  <c r="O97" i="23" s="1"/>
  <c r="O11" i="8"/>
  <c r="O11" i="23" s="1"/>
  <c r="O63" i="23" s="1"/>
  <c r="O13" i="8"/>
  <c r="O13" i="23" s="1"/>
  <c r="O65" i="23" s="1"/>
  <c r="O9" i="8"/>
  <c r="O9" i="23" s="1"/>
  <c r="O61" i="23" s="1"/>
  <c r="O36" i="8"/>
  <c r="O36" i="23" s="1"/>
  <c r="O88" i="23" s="1"/>
  <c r="O16" i="8"/>
  <c r="O16" i="23" s="1"/>
  <c r="O68" i="23" s="1"/>
  <c r="O48" i="8"/>
  <c r="O48" i="23" s="1"/>
  <c r="O100" i="23" s="1"/>
  <c r="O50" i="8"/>
  <c r="O50" i="23" s="1"/>
  <c r="O102" i="23" s="1"/>
  <c r="O29" i="8"/>
  <c r="O29" i="23" s="1"/>
  <c r="O81" i="23" s="1"/>
  <c r="O38" i="8"/>
  <c r="O38" i="23" s="1"/>
  <c r="O90" i="23" s="1"/>
  <c r="O47" i="8"/>
  <c r="O47" i="23" s="1"/>
  <c r="O99" i="23" s="1"/>
  <c r="O5" i="8"/>
  <c r="O43" i="8"/>
  <c r="O43" i="23" s="1"/>
  <c r="O95" i="23" s="1"/>
  <c r="O39" i="8"/>
  <c r="O39" i="23" s="1"/>
  <c r="O91" i="23" s="1"/>
  <c r="O25" i="8"/>
  <c r="O25" i="23" s="1"/>
  <c r="O77" i="23" s="1"/>
  <c r="O6" i="8"/>
  <c r="O6" i="23" s="1"/>
  <c r="O58" i="23" s="1"/>
  <c r="O14" i="8"/>
  <c r="O14" i="23" s="1"/>
  <c r="O66" i="23" s="1"/>
  <c r="O20" i="8"/>
  <c r="O20" i="23" s="1"/>
  <c r="O72" i="23" s="1"/>
  <c r="O30" i="8"/>
  <c r="O30" i="23" s="1"/>
  <c r="O82" i="23" s="1"/>
  <c r="O23" i="8"/>
  <c r="O23" i="23" s="1"/>
  <c r="O75" i="23" s="1"/>
  <c r="O15" i="8"/>
  <c r="O15" i="23" s="1"/>
  <c r="O67" i="23" s="1"/>
  <c r="O26" i="8"/>
  <c r="O26" i="23" s="1"/>
  <c r="O78" i="23" s="1"/>
  <c r="O27" i="8"/>
  <c r="O27" i="23" s="1"/>
  <c r="O79" i="23" s="1"/>
  <c r="O49" i="8"/>
  <c r="O49" i="23" s="1"/>
  <c r="O101" i="23" s="1"/>
  <c r="O32" i="8"/>
  <c r="O32" i="23" s="1"/>
  <c r="O84" i="23" s="1"/>
  <c r="O31" i="8"/>
  <c r="O31" i="23" s="1"/>
  <c r="O83" i="23" s="1"/>
  <c r="O8" i="8"/>
  <c r="O8" i="23" s="1"/>
  <c r="O60" i="23" s="1"/>
  <c r="O22" i="8"/>
  <c r="O22" i="23" s="1"/>
  <c r="O74" i="23" s="1"/>
  <c r="O7" i="8"/>
  <c r="O7" i="23" s="1"/>
  <c r="O59" i="23" s="1"/>
  <c r="O28" i="8"/>
  <c r="O28" i="23" s="1"/>
  <c r="O80" i="23" s="1"/>
  <c r="O41" i="8"/>
  <c r="O41" i="23" s="1"/>
  <c r="O93" i="23" s="1"/>
  <c r="O19" i="8"/>
  <c r="O19" i="23" s="1"/>
  <c r="O71" i="23" s="1"/>
  <c r="O24" i="8"/>
  <c r="O24" i="23" s="1"/>
  <c r="O76" i="23" s="1"/>
  <c r="O12" i="8"/>
  <c r="O12" i="23" s="1"/>
  <c r="O64" i="23" s="1"/>
  <c r="Q28" i="24"/>
  <c r="Q70" i="24" s="1"/>
  <c r="S28" i="12"/>
  <c r="Q44" i="8"/>
  <c r="Q44" i="23" s="1"/>
  <c r="Q96" i="23" s="1"/>
  <c r="L10" i="8"/>
  <c r="L10" i="23" s="1"/>
  <c r="L62" i="23" s="1"/>
  <c r="S7" i="12"/>
  <c r="Q7" i="24"/>
  <c r="Q49" i="24" s="1"/>
  <c r="S23" i="12"/>
  <c r="Q23" i="24"/>
  <c r="Q65" i="24" s="1"/>
  <c r="P11" i="25"/>
  <c r="Q7" i="8"/>
  <c r="Q7" i="23" s="1"/>
  <c r="Q59" i="23" s="1"/>
  <c r="W14" i="8"/>
  <c r="V14" i="23" s="1"/>
  <c r="V66" i="23" s="1"/>
  <c r="W44" i="8"/>
  <c r="V44" i="23" s="1"/>
  <c r="V96" i="23" s="1"/>
  <c r="W33" i="8"/>
  <c r="V33" i="23" s="1"/>
  <c r="V85" i="23" s="1"/>
  <c r="W46" i="8"/>
  <c r="V46" i="23" s="1"/>
  <c r="V98" i="23" s="1"/>
  <c r="W8" i="8"/>
  <c r="V8" i="23" s="1"/>
  <c r="V60" i="23" s="1"/>
  <c r="W49" i="8"/>
  <c r="V49" i="23" s="1"/>
  <c r="V101" i="23" s="1"/>
  <c r="W10" i="8"/>
  <c r="V10" i="23" s="1"/>
  <c r="V62" i="23" s="1"/>
  <c r="W21" i="8"/>
  <c r="V21" i="23" s="1"/>
  <c r="V73" i="23" s="1"/>
  <c r="W41" i="8"/>
  <c r="V41" i="23" s="1"/>
  <c r="V93" i="23" s="1"/>
  <c r="W38" i="8"/>
  <c r="V38" i="23" s="1"/>
  <c r="V90" i="23" s="1"/>
  <c r="W12" i="8"/>
  <c r="V12" i="23" s="1"/>
  <c r="V64" i="23" s="1"/>
  <c r="W22" i="8"/>
  <c r="V22" i="23" s="1"/>
  <c r="V74" i="23" s="1"/>
  <c r="W24" i="8"/>
  <c r="V24" i="23" s="1"/>
  <c r="V76" i="23" s="1"/>
  <c r="W9" i="8"/>
  <c r="V9" i="23" s="1"/>
  <c r="V61" i="23" s="1"/>
  <c r="W15" i="8"/>
  <c r="V15" i="23" s="1"/>
  <c r="V67" i="23" s="1"/>
  <c r="W28" i="8"/>
  <c r="V28" i="23" s="1"/>
  <c r="V80" i="23" s="1"/>
  <c r="W32" i="8"/>
  <c r="V32" i="23" s="1"/>
  <c r="V84" i="23" s="1"/>
  <c r="W23" i="8"/>
  <c r="V23" i="23" s="1"/>
  <c r="V75" i="23" s="1"/>
  <c r="W40" i="8"/>
  <c r="V40" i="23" s="1"/>
  <c r="V92" i="23" s="1"/>
  <c r="W39" i="8"/>
  <c r="V39" i="23" s="1"/>
  <c r="V91" i="23" s="1"/>
  <c r="W19" i="8"/>
  <c r="V19" i="23" s="1"/>
  <c r="V71" i="23" s="1"/>
  <c r="W36" i="8"/>
  <c r="V36" i="23" s="1"/>
  <c r="V88" i="23" s="1"/>
  <c r="W30" i="8"/>
  <c r="V30" i="23" s="1"/>
  <c r="V82" i="23" s="1"/>
  <c r="W48" i="8"/>
  <c r="V48" i="23" s="1"/>
  <c r="V100" i="23" s="1"/>
  <c r="W20" i="8"/>
  <c r="V20" i="23" s="1"/>
  <c r="V72" i="23" s="1"/>
  <c r="W5" i="8"/>
  <c r="W42" i="8"/>
  <c r="V42" i="23" s="1"/>
  <c r="V94" i="23" s="1"/>
  <c r="W51" i="8"/>
  <c r="V51" i="23" s="1"/>
  <c r="V103" i="23" s="1"/>
  <c r="W29" i="8"/>
  <c r="V29" i="23" s="1"/>
  <c r="V81" i="23" s="1"/>
  <c r="W37" i="8"/>
  <c r="V37" i="23" s="1"/>
  <c r="V89" i="23" s="1"/>
  <c r="W47" i="8"/>
  <c r="V47" i="23" s="1"/>
  <c r="V99" i="23" s="1"/>
  <c r="W25" i="8"/>
  <c r="V25" i="23" s="1"/>
  <c r="V77" i="23" s="1"/>
  <c r="W31" i="8"/>
  <c r="V31" i="23" s="1"/>
  <c r="V83" i="23" s="1"/>
  <c r="W7" i="8"/>
  <c r="V7" i="23" s="1"/>
  <c r="V59" i="23" s="1"/>
  <c r="W6" i="8"/>
  <c r="V6" i="23" s="1"/>
  <c r="V58" i="23" s="1"/>
  <c r="W35" i="8"/>
  <c r="V35" i="23" s="1"/>
  <c r="V87" i="23" s="1"/>
  <c r="W34" i="8"/>
  <c r="V34" i="23" s="1"/>
  <c r="V86" i="23" s="1"/>
  <c r="W18" i="8"/>
  <c r="V18" i="23" s="1"/>
  <c r="V70" i="23" s="1"/>
  <c r="W43" i="8"/>
  <c r="V43" i="23" s="1"/>
  <c r="V95" i="23" s="1"/>
  <c r="W45" i="8"/>
  <c r="V45" i="23" s="1"/>
  <c r="V97" i="23" s="1"/>
  <c r="W27" i="8"/>
  <c r="V27" i="23" s="1"/>
  <c r="V79" i="23" s="1"/>
  <c r="M29" i="24"/>
  <c r="M71" i="24" s="1"/>
  <c r="M39" i="24"/>
  <c r="M81" i="24" s="1"/>
  <c r="T28" i="13"/>
  <c r="W28" i="13" s="1"/>
  <c r="T28" i="12"/>
  <c r="W28" i="12" s="1"/>
  <c r="W28" i="11"/>
  <c r="R28" i="24"/>
  <c r="R70" i="24" s="1"/>
  <c r="T33" i="12"/>
  <c r="T33" i="13"/>
  <c r="W33" i="13" s="1"/>
  <c r="W33" i="11"/>
  <c r="T15" i="12"/>
  <c r="W15" i="12" s="1"/>
  <c r="T15" i="13"/>
  <c r="W15" i="13" s="1"/>
  <c r="W15" i="11"/>
  <c r="T6" i="12"/>
  <c r="T6" i="13"/>
  <c r="W6" i="13" s="1"/>
  <c r="W6" i="11"/>
  <c r="L44" i="8"/>
  <c r="L44" i="23" s="1"/>
  <c r="L96" i="23" s="1"/>
  <c r="S17" i="12"/>
  <c r="Q17" i="24"/>
  <c r="Q59" i="24" s="1"/>
  <c r="M8" i="24"/>
  <c r="M50" i="24" s="1"/>
  <c r="L43" i="8"/>
  <c r="L43" i="23" s="1"/>
  <c r="L95" i="23" s="1"/>
  <c r="J7" i="26"/>
  <c r="J13" i="26" s="1"/>
  <c r="S15" i="12"/>
  <c r="Q15" i="24"/>
  <c r="Q57" i="24" s="1"/>
  <c r="Y25" i="7"/>
  <c r="Y26" i="7"/>
  <c r="Y45" i="7"/>
  <c r="Y24" i="7"/>
  <c r="Y50" i="7"/>
  <c r="Y42" i="7"/>
  <c r="Y18" i="7"/>
  <c r="Y16" i="7"/>
  <c r="Y22" i="7"/>
  <c r="Y30" i="7"/>
  <c r="AB30" i="7" s="1"/>
  <c r="Y23" i="7"/>
  <c r="Y14" i="7"/>
  <c r="Y11" i="7"/>
  <c r="Y8" i="7"/>
  <c r="Y44" i="7"/>
  <c r="AB44" i="7" s="1"/>
  <c r="Y34" i="7"/>
  <c r="Y37" i="7"/>
  <c r="Y28" i="7"/>
  <c r="Y6" i="7"/>
  <c r="Y41" i="7"/>
  <c r="Y51" i="7"/>
  <c r="Y51" i="9" s="1"/>
  <c r="Y33" i="7"/>
  <c r="Y49" i="7"/>
  <c r="AB49" i="7" s="1"/>
  <c r="Y17" i="7"/>
  <c r="Y9" i="7"/>
  <c r="Y15" i="7"/>
  <c r="Y31" i="7"/>
  <c r="Y36" i="7"/>
  <c r="Y47" i="7"/>
  <c r="AB47" i="7" s="1"/>
  <c r="Y13" i="7"/>
  <c r="Y5" i="7"/>
  <c r="Y29" i="7"/>
  <c r="Y32" i="7"/>
  <c r="AB32" i="7" s="1"/>
  <c r="Y46" i="7"/>
  <c r="Y48" i="7"/>
  <c r="Y27" i="7"/>
  <c r="Y19" i="7"/>
  <c r="Y12" i="7"/>
  <c r="Y39" i="7"/>
  <c r="Y38" i="7"/>
  <c r="Y21" i="7"/>
  <c r="Y20" i="7"/>
  <c r="Y10" i="7"/>
  <c r="Y7" i="7"/>
  <c r="Y40" i="7"/>
  <c r="Y43" i="7"/>
  <c r="Y35" i="7"/>
  <c r="AB35" i="7" s="1"/>
  <c r="S39" i="12"/>
  <c r="Q39" i="24"/>
  <c r="Q81" i="24" s="1"/>
  <c r="S20" i="12"/>
  <c r="Q20" i="24"/>
  <c r="Q62" i="24" s="1"/>
  <c r="Q33" i="11"/>
  <c r="AB33" i="11" s="1"/>
  <c r="X33" i="13" s="1"/>
  <c r="O33" i="12"/>
  <c r="O33" i="13"/>
  <c r="Q33" i="13" s="1"/>
  <c r="O36" i="13"/>
  <c r="Q36" i="11"/>
  <c r="AB36" i="11" s="1"/>
  <c r="O36" i="12"/>
  <c r="O12" i="12"/>
  <c r="O12" i="13"/>
  <c r="Q12" i="13" s="1"/>
  <c r="Q12" i="11"/>
  <c r="Q29" i="11"/>
  <c r="AB29" i="11" s="1"/>
  <c r="O29" i="12"/>
  <c r="O29" i="13"/>
  <c r="Q29" i="13" s="1"/>
  <c r="R58" i="7"/>
  <c r="S58" i="7"/>
  <c r="P9" i="12"/>
  <c r="P9" i="24" s="1"/>
  <c r="P51" i="24" s="1"/>
  <c r="P9" i="13"/>
  <c r="P15" i="12"/>
  <c r="P15" i="13"/>
  <c r="P11" i="12"/>
  <c r="P11" i="24" s="1"/>
  <c r="P53" i="24" s="1"/>
  <c r="P11" i="13"/>
  <c r="P21" i="12"/>
  <c r="P21" i="24" s="1"/>
  <c r="P63" i="24" s="1"/>
  <c r="P21" i="13"/>
  <c r="Q22" i="23"/>
  <c r="Q74" i="23" s="1"/>
  <c r="AB17" i="7"/>
  <c r="V17" i="9"/>
  <c r="AB14" i="7"/>
  <c r="V14" i="9"/>
  <c r="V26" i="9"/>
  <c r="S14" i="12"/>
  <c r="Q14" i="24"/>
  <c r="Q56" i="24" s="1"/>
  <c r="S33" i="12"/>
  <c r="Q33" i="24"/>
  <c r="Q75" i="24" s="1"/>
  <c r="W13" i="23"/>
  <c r="W65" i="23" s="1"/>
  <c r="Q53" i="9"/>
  <c r="L35" i="8"/>
  <c r="L35" i="23" s="1"/>
  <c r="L87" i="23" s="1"/>
  <c r="P32" i="8"/>
  <c r="P32" i="23" s="1"/>
  <c r="P84" i="23" s="1"/>
  <c r="P7" i="8"/>
  <c r="P7" i="23" s="1"/>
  <c r="P59" i="23" s="1"/>
  <c r="P20" i="8"/>
  <c r="P20" i="23" s="1"/>
  <c r="P72" i="23" s="1"/>
  <c r="P5" i="8"/>
  <c r="P15" i="8"/>
  <c r="P15" i="23" s="1"/>
  <c r="P67" i="23" s="1"/>
  <c r="P6" i="8"/>
  <c r="P6" i="23" s="1"/>
  <c r="P58" i="23" s="1"/>
  <c r="P23" i="8"/>
  <c r="P9" i="8"/>
  <c r="P9" i="23" s="1"/>
  <c r="P61" i="23" s="1"/>
  <c r="P13" i="8"/>
  <c r="P13" i="23" s="1"/>
  <c r="P65" i="23" s="1"/>
  <c r="P40" i="8"/>
  <c r="P40" i="23" s="1"/>
  <c r="P92" i="23" s="1"/>
  <c r="P39" i="8"/>
  <c r="P39" i="23" s="1"/>
  <c r="P91" i="23" s="1"/>
  <c r="P10" i="8"/>
  <c r="P10" i="23" s="1"/>
  <c r="P62" i="23" s="1"/>
  <c r="P22" i="8"/>
  <c r="P8" i="8"/>
  <c r="P8" i="23" s="1"/>
  <c r="P60" i="23" s="1"/>
  <c r="P51" i="8"/>
  <c r="P51" i="23" s="1"/>
  <c r="P103" i="23" s="1"/>
  <c r="P35" i="8"/>
  <c r="P35" i="23" s="1"/>
  <c r="P87" i="23" s="1"/>
  <c r="P29" i="8"/>
  <c r="P36" i="8"/>
  <c r="P36" i="23" s="1"/>
  <c r="P88" i="23" s="1"/>
  <c r="P34" i="8"/>
  <c r="P34" i="23" s="1"/>
  <c r="P86" i="23" s="1"/>
  <c r="P50" i="8"/>
  <c r="P50" i="23" s="1"/>
  <c r="P102" i="23" s="1"/>
  <c r="P28" i="8"/>
  <c r="P17" i="8"/>
  <c r="P17" i="23" s="1"/>
  <c r="P69" i="23" s="1"/>
  <c r="P43" i="8"/>
  <c r="P43" i="23" s="1"/>
  <c r="P95" i="23" s="1"/>
  <c r="P25" i="8"/>
  <c r="P25" i="23" s="1"/>
  <c r="P77" i="23" s="1"/>
  <c r="P33" i="8"/>
  <c r="P33" i="23" s="1"/>
  <c r="P85" i="23" s="1"/>
  <c r="P49" i="8"/>
  <c r="P49" i="23" s="1"/>
  <c r="P101" i="23" s="1"/>
  <c r="P37" i="8"/>
  <c r="P37" i="23" s="1"/>
  <c r="P89" i="23" s="1"/>
  <c r="P16" i="8"/>
  <c r="P16" i="23" s="1"/>
  <c r="P68" i="23" s="1"/>
  <c r="P18" i="8"/>
  <c r="P18" i="23" s="1"/>
  <c r="P70" i="23" s="1"/>
  <c r="P42" i="8"/>
  <c r="P42" i="23" s="1"/>
  <c r="P94" i="23" s="1"/>
  <c r="P44" i="8"/>
  <c r="P44" i="23" s="1"/>
  <c r="P96" i="23" s="1"/>
  <c r="P31" i="8"/>
  <c r="P31" i="23" s="1"/>
  <c r="P83" i="23" s="1"/>
  <c r="P24" i="8"/>
  <c r="P26" i="8"/>
  <c r="P30" i="8"/>
  <c r="P30" i="23" s="1"/>
  <c r="P82" i="23" s="1"/>
  <c r="P11" i="8"/>
  <c r="P11" i="23" s="1"/>
  <c r="P63" i="23" s="1"/>
  <c r="P38" i="8"/>
  <c r="P38" i="23" s="1"/>
  <c r="P90" i="23" s="1"/>
  <c r="P12" i="8"/>
  <c r="P12" i="23" s="1"/>
  <c r="P64" i="23" s="1"/>
  <c r="P48" i="8"/>
  <c r="P48" i="23" s="1"/>
  <c r="P100" i="23" s="1"/>
  <c r="P46" i="8"/>
  <c r="P46" i="23" s="1"/>
  <c r="P98" i="23" s="1"/>
  <c r="P14" i="8"/>
  <c r="P14" i="23" s="1"/>
  <c r="P66" i="23" s="1"/>
  <c r="P45" i="8"/>
  <c r="P45" i="23" s="1"/>
  <c r="P97" i="23" s="1"/>
  <c r="P19" i="8"/>
  <c r="P19" i="23" s="1"/>
  <c r="P71" i="23" s="1"/>
  <c r="P47" i="8"/>
  <c r="P47" i="23" s="1"/>
  <c r="P99" i="23" s="1"/>
  <c r="P27" i="8"/>
  <c r="P21" i="8"/>
  <c r="P41" i="8"/>
  <c r="P41" i="23" s="1"/>
  <c r="P93" i="23" s="1"/>
  <c r="M34" i="24"/>
  <c r="M76" i="24" s="1"/>
  <c r="X25" i="8"/>
  <c r="W25" i="23" s="1"/>
  <c r="W77" i="23" s="1"/>
  <c r="M32" i="24"/>
  <c r="M74" i="24" s="1"/>
  <c r="X24" i="8"/>
  <c r="W24" i="23" s="1"/>
  <c r="W76" i="23" s="1"/>
  <c r="P7" i="25"/>
  <c r="P13" i="25" s="1"/>
  <c r="T30" i="13"/>
  <c r="W30" i="13" s="1"/>
  <c r="T30" i="12"/>
  <c r="W30" i="11"/>
  <c r="T17" i="12"/>
  <c r="W17" i="12" s="1"/>
  <c r="T17" i="13"/>
  <c r="W17" i="13" s="1"/>
  <c r="W17" i="11"/>
  <c r="R17" i="24"/>
  <c r="R59" i="24" s="1"/>
  <c r="T35" i="12"/>
  <c r="W35" i="12" s="1"/>
  <c r="T35" i="13"/>
  <c r="W35" i="13" s="1"/>
  <c r="R35" i="24"/>
  <c r="R77" i="24" s="1"/>
  <c r="W35" i="11"/>
  <c r="T24" i="12"/>
  <c r="W24" i="12" s="1"/>
  <c r="W24" i="11"/>
  <c r="T24" i="13"/>
  <c r="W24" i="13" s="1"/>
  <c r="R24" i="24"/>
  <c r="R66" i="24" s="1"/>
  <c r="S27" i="12"/>
  <c r="Q27" i="24"/>
  <c r="Q69" i="24" s="1"/>
  <c r="AB36" i="7"/>
  <c r="M34" i="9"/>
  <c r="S13" i="12"/>
  <c r="Q13" i="24"/>
  <c r="Q55" i="24" s="1"/>
  <c r="S36" i="12"/>
  <c r="Q36" i="24"/>
  <c r="Q78" i="24" s="1"/>
  <c r="AC22" i="8"/>
  <c r="Q11" i="12"/>
  <c r="AD42" i="8"/>
  <c r="AA42" i="23"/>
  <c r="AA94" i="23" s="1"/>
  <c r="Q8" i="24"/>
  <c r="Q50" i="24" s="1"/>
  <c r="S8" i="12"/>
  <c r="Q8" i="11"/>
  <c r="AB8" i="11" s="1"/>
  <c r="O8" i="12"/>
  <c r="O8" i="13"/>
  <c r="Q14" i="11"/>
  <c r="AB14" i="11" s="1"/>
  <c r="X14" i="13" s="1"/>
  <c r="O14" i="13"/>
  <c r="O14" i="12"/>
  <c r="O24" i="12"/>
  <c r="O24" i="13"/>
  <c r="Q24" i="11"/>
  <c r="AB24" i="11" s="1"/>
  <c r="O43" i="11"/>
  <c r="O5" i="13"/>
  <c r="Q5" i="11"/>
  <c r="O5" i="12"/>
  <c r="M5" i="24"/>
  <c r="M47" i="24" s="1"/>
  <c r="M43" i="12"/>
  <c r="P25" i="12"/>
  <c r="P25" i="13"/>
  <c r="P29" i="12"/>
  <c r="P29" i="24" s="1"/>
  <c r="P71" i="24" s="1"/>
  <c r="P29" i="13"/>
  <c r="P24" i="12"/>
  <c r="P24" i="24" s="1"/>
  <c r="P66" i="24" s="1"/>
  <c r="P24" i="13"/>
  <c r="P37" i="12"/>
  <c r="P37" i="24" s="1"/>
  <c r="P79" i="24" s="1"/>
  <c r="P37" i="13"/>
  <c r="V13" i="9"/>
  <c r="AB13" i="7"/>
  <c r="V16" i="9"/>
  <c r="AB16" i="7"/>
  <c r="AB15" i="7"/>
  <c r="V15" i="9"/>
  <c r="V10" i="9"/>
  <c r="AB10" i="7"/>
  <c r="AB37" i="7"/>
  <c r="V37" i="9"/>
  <c r="AD6" i="8"/>
  <c r="AA6" i="23"/>
  <c r="AA58" i="23" s="1"/>
  <c r="Q17" i="8"/>
  <c r="Q17" i="23" s="1"/>
  <c r="Q69" i="23" s="1"/>
  <c r="Q31" i="8"/>
  <c r="Q31" i="23" s="1"/>
  <c r="Q83" i="23" s="1"/>
  <c r="Q19" i="8"/>
  <c r="Q19" i="23" s="1"/>
  <c r="Q71" i="23" s="1"/>
  <c r="Q14" i="8"/>
  <c r="Q14" i="23" s="1"/>
  <c r="Q66" i="23" s="1"/>
  <c r="Q29" i="8"/>
  <c r="Q29" i="23" s="1"/>
  <c r="Q81" i="23" s="1"/>
  <c r="Q43" i="8"/>
  <c r="Q43" i="23" s="1"/>
  <c r="Q95" i="23" s="1"/>
  <c r="Q20" i="8"/>
  <c r="Q20" i="23" s="1"/>
  <c r="Q72" i="23" s="1"/>
  <c r="Q8" i="8"/>
  <c r="Q8" i="23" s="1"/>
  <c r="Q60" i="23" s="1"/>
  <c r="Q37" i="8"/>
  <c r="Q37" i="23" s="1"/>
  <c r="Q89" i="23" s="1"/>
  <c r="Q9" i="8"/>
  <c r="Q9" i="23" s="1"/>
  <c r="Q61" i="23" s="1"/>
  <c r="Q5" i="8"/>
  <c r="Q18" i="8"/>
  <c r="Q18" i="23" s="1"/>
  <c r="Q70" i="23" s="1"/>
  <c r="Q50" i="8"/>
  <c r="Q50" i="23" s="1"/>
  <c r="Q102" i="23" s="1"/>
  <c r="Q16" i="8"/>
  <c r="Q16" i="23" s="1"/>
  <c r="Q68" i="23" s="1"/>
  <c r="Q26" i="8"/>
  <c r="Q26" i="23" s="1"/>
  <c r="Q78" i="23" s="1"/>
  <c r="Q48" i="8"/>
  <c r="Q48" i="23" s="1"/>
  <c r="Q100" i="23" s="1"/>
  <c r="Q49" i="8"/>
  <c r="Q49" i="23" s="1"/>
  <c r="Q101" i="23" s="1"/>
  <c r="Q42" i="8"/>
  <c r="Q42" i="23" s="1"/>
  <c r="Q94" i="23" s="1"/>
  <c r="Q24" i="8"/>
  <c r="Q24" i="23" s="1"/>
  <c r="Q76" i="23" s="1"/>
  <c r="Q33" i="8"/>
  <c r="Q33" i="23" s="1"/>
  <c r="Q85" i="23" s="1"/>
  <c r="Q12" i="8"/>
  <c r="Q12" i="23" s="1"/>
  <c r="Q64" i="23" s="1"/>
  <c r="Q35" i="8"/>
  <c r="Q35" i="23" s="1"/>
  <c r="Q87" i="23" s="1"/>
  <c r="Q36" i="8"/>
  <c r="Q36" i="23" s="1"/>
  <c r="Q88" i="23" s="1"/>
  <c r="Q45" i="8"/>
  <c r="Q45" i="23" s="1"/>
  <c r="Q97" i="23" s="1"/>
  <c r="Q46" i="8"/>
  <c r="Q46" i="23" s="1"/>
  <c r="Q98" i="23" s="1"/>
  <c r="Q13" i="8"/>
  <c r="Q13" i="23" s="1"/>
  <c r="Q65" i="23" s="1"/>
  <c r="Q27" i="8"/>
  <c r="Q27" i="23" s="1"/>
  <c r="Q79" i="23" s="1"/>
  <c r="Q21" i="8"/>
  <c r="Q21" i="23" s="1"/>
  <c r="Q73" i="23" s="1"/>
  <c r="Q39" i="8"/>
  <c r="Q39" i="23" s="1"/>
  <c r="Q91" i="23" s="1"/>
  <c r="Q41" i="8"/>
  <c r="Q41" i="23" s="1"/>
  <c r="Q93" i="23" s="1"/>
  <c r="Q15" i="8"/>
  <c r="Q15" i="23" s="1"/>
  <c r="Q67" i="23" s="1"/>
  <c r="Q6" i="8"/>
  <c r="Q6" i="23" s="1"/>
  <c r="Q58" i="23" s="1"/>
  <c r="Q25" i="8"/>
  <c r="Q25" i="23" s="1"/>
  <c r="Q77" i="23" s="1"/>
  <c r="Q47" i="8"/>
  <c r="Q47" i="23" s="1"/>
  <c r="Q99" i="23" s="1"/>
  <c r="Q28" i="8"/>
  <c r="Q28" i="23" s="1"/>
  <c r="Q80" i="23" s="1"/>
  <c r="Q32" i="8"/>
  <c r="Q32" i="23" s="1"/>
  <c r="Q84" i="23" s="1"/>
  <c r="L30" i="8"/>
  <c r="L30" i="23" s="1"/>
  <c r="L82" i="23" s="1"/>
  <c r="L21" i="8"/>
  <c r="L21" i="23" s="1"/>
  <c r="L73" i="23" s="1"/>
  <c r="L45" i="8"/>
  <c r="L45" i="23" s="1"/>
  <c r="L97" i="23" s="1"/>
  <c r="L27" i="8"/>
  <c r="L27" i="23" s="1"/>
  <c r="L79" i="23" s="1"/>
  <c r="L24" i="8"/>
  <c r="L24" i="23" s="1"/>
  <c r="L76" i="23" s="1"/>
  <c r="L5" i="8"/>
  <c r="S6" i="12"/>
  <c r="Q6" i="24"/>
  <c r="Q48" i="24" s="1"/>
  <c r="S24" i="12"/>
  <c r="Q24" i="24"/>
  <c r="Q66" i="24" s="1"/>
  <c r="AD8" i="8"/>
  <c r="AA8" i="23"/>
  <c r="AA60" i="23" s="1"/>
  <c r="L13" i="8"/>
  <c r="L13" i="23" s="1"/>
  <c r="L65" i="23" s="1"/>
  <c r="L48" i="8"/>
  <c r="L48" i="23" s="1"/>
  <c r="L100" i="23" s="1"/>
  <c r="AC24" i="8"/>
  <c r="X37" i="8"/>
  <c r="W37" i="23" s="1"/>
  <c r="W89" i="23" s="1"/>
  <c r="X11" i="8"/>
  <c r="W11" i="23" s="1"/>
  <c r="W63" i="23" s="1"/>
  <c r="X42" i="8"/>
  <c r="W42" i="23" s="1"/>
  <c r="W94" i="23" s="1"/>
  <c r="X21" i="8"/>
  <c r="W21" i="23" s="1"/>
  <c r="W73" i="23" s="1"/>
  <c r="X51" i="8"/>
  <c r="W51" i="23" s="1"/>
  <c r="W103" i="23" s="1"/>
  <c r="X46" i="8"/>
  <c r="W46" i="23" s="1"/>
  <c r="W98" i="23" s="1"/>
  <c r="X12" i="8"/>
  <c r="W12" i="23" s="1"/>
  <c r="W64" i="23" s="1"/>
  <c r="X10" i="8"/>
  <c r="W10" i="23" s="1"/>
  <c r="W62" i="23" s="1"/>
  <c r="X30" i="8"/>
  <c r="W30" i="23" s="1"/>
  <c r="W82" i="23" s="1"/>
  <c r="X44" i="8"/>
  <c r="W44" i="23" s="1"/>
  <c r="W96" i="23" s="1"/>
  <c r="X48" i="8"/>
  <c r="W48" i="23" s="1"/>
  <c r="W100" i="23" s="1"/>
  <c r="X9" i="8"/>
  <c r="W9" i="23" s="1"/>
  <c r="W61" i="23" s="1"/>
  <c r="X50" i="8"/>
  <c r="W50" i="23" s="1"/>
  <c r="W102" i="23" s="1"/>
  <c r="X43" i="8"/>
  <c r="W43" i="23" s="1"/>
  <c r="W95" i="23" s="1"/>
  <c r="X23" i="8"/>
  <c r="W23" i="23" s="1"/>
  <c r="W75" i="23" s="1"/>
  <c r="X34" i="8"/>
  <c r="W34" i="23" s="1"/>
  <c r="W86" i="23" s="1"/>
  <c r="X36" i="8"/>
  <c r="W36" i="23" s="1"/>
  <c r="W88" i="23" s="1"/>
  <c r="X40" i="8"/>
  <c r="W40" i="23" s="1"/>
  <c r="W92" i="23" s="1"/>
  <c r="X32" i="8"/>
  <c r="W32" i="23" s="1"/>
  <c r="W84" i="23" s="1"/>
  <c r="X45" i="8"/>
  <c r="W45" i="23" s="1"/>
  <c r="W97" i="23" s="1"/>
  <c r="X5" i="8"/>
  <c r="X35" i="8"/>
  <c r="W35" i="23" s="1"/>
  <c r="W87" i="23" s="1"/>
  <c r="X49" i="8"/>
  <c r="W49" i="23" s="1"/>
  <c r="W101" i="23" s="1"/>
  <c r="X33" i="8"/>
  <c r="W33" i="23" s="1"/>
  <c r="W85" i="23" s="1"/>
  <c r="X31" i="8"/>
  <c r="W31" i="23" s="1"/>
  <c r="W83" i="23" s="1"/>
  <c r="X47" i="8"/>
  <c r="W47" i="23" s="1"/>
  <c r="W99" i="23" s="1"/>
  <c r="X41" i="8"/>
  <c r="W41" i="23" s="1"/>
  <c r="W93" i="23" s="1"/>
  <c r="X19" i="8"/>
  <c r="W19" i="23" s="1"/>
  <c r="W71" i="23" s="1"/>
  <c r="L16" i="8"/>
  <c r="L16" i="23" s="1"/>
  <c r="L68" i="23" s="1"/>
  <c r="Q41" i="24"/>
  <c r="Q83" i="24" s="1"/>
  <c r="S41" i="12"/>
  <c r="X16" i="8"/>
  <c r="W16" i="23" s="1"/>
  <c r="W68" i="23" s="1"/>
  <c r="T37" i="12"/>
  <c r="W37" i="12" s="1"/>
  <c r="T37" i="13"/>
  <c r="W37" i="13" s="1"/>
  <c r="W37" i="11"/>
  <c r="T9" i="12"/>
  <c r="W9" i="12" s="1"/>
  <c r="T9" i="13"/>
  <c r="W9" i="13" s="1"/>
  <c r="W9" i="11"/>
  <c r="T7" i="12"/>
  <c r="T7" i="13"/>
  <c r="W7" i="13" s="1"/>
  <c r="W7" i="11"/>
  <c r="T20" i="12"/>
  <c r="T20" i="13"/>
  <c r="W20" i="13" s="1"/>
  <c r="W20" i="11"/>
  <c r="T12" i="12"/>
  <c r="W12" i="12" s="1"/>
  <c r="T12" i="13"/>
  <c r="W12" i="13" s="1"/>
  <c r="W12" i="11"/>
  <c r="R12" i="24"/>
  <c r="R54" i="24" s="1"/>
  <c r="L33" i="8"/>
  <c r="L33" i="23" s="1"/>
  <c r="L85" i="23" s="1"/>
  <c r="AC41" i="8"/>
  <c r="X39" i="8"/>
  <c r="W39" i="23" s="1"/>
  <c r="W91" i="23" s="1"/>
  <c r="U53" i="9"/>
  <c r="AH53" i="9"/>
  <c r="M51" i="9"/>
  <c r="L25" i="8"/>
  <c r="L25" i="23" s="1"/>
  <c r="L77" i="23" s="1"/>
  <c r="R43" i="13"/>
  <c r="S5" i="13"/>
  <c r="S43" i="13" s="1"/>
  <c r="S31" i="12"/>
  <c r="Q31" i="24"/>
  <c r="Q73" i="24" s="1"/>
  <c r="AD43" i="8"/>
  <c r="AA43" i="23"/>
  <c r="AA95" i="23" s="1"/>
  <c r="L37" i="23"/>
  <c r="L89" i="23" s="1"/>
  <c r="L9" i="23"/>
  <c r="L61" i="23" s="1"/>
  <c r="O35" i="12"/>
  <c r="O35" i="13"/>
  <c r="Q35" i="13" s="1"/>
  <c r="Q35" i="11"/>
  <c r="AB35" i="11" s="1"/>
  <c r="Q30" i="11"/>
  <c r="AB30" i="11" s="1"/>
  <c r="O30" i="12"/>
  <c r="O30" i="13"/>
  <c r="Q15" i="11"/>
  <c r="O15" i="12"/>
  <c r="O15" i="13"/>
  <c r="O16" i="12"/>
  <c r="O16" i="13"/>
  <c r="Q16" i="13" s="1"/>
  <c r="Q16" i="11"/>
  <c r="AB16" i="11" s="1"/>
  <c r="O37" i="12"/>
  <c r="O37" i="13"/>
  <c r="Q37" i="13" s="1"/>
  <c r="Q37" i="11"/>
  <c r="AD15" i="8"/>
  <c r="AA15" i="23"/>
  <c r="AA67" i="23" s="1"/>
  <c r="P14" i="12"/>
  <c r="P14" i="13"/>
  <c r="P40" i="12"/>
  <c r="P40" i="24" s="1"/>
  <c r="P82" i="24" s="1"/>
  <c r="P40" i="13"/>
  <c r="P41" i="13"/>
  <c r="P41" i="12"/>
  <c r="P41" i="24" s="1"/>
  <c r="P83" i="24" s="1"/>
  <c r="P10" i="12"/>
  <c r="P10" i="24" s="1"/>
  <c r="P52" i="24" s="1"/>
  <c r="P10" i="13"/>
  <c r="P8" i="12"/>
  <c r="P8" i="13"/>
  <c r="AB6" i="7"/>
  <c r="V6" i="9"/>
  <c r="V28" i="9"/>
  <c r="AB24" i="7"/>
  <c r="V24" i="9"/>
  <c r="V50" i="9"/>
  <c r="S32" i="12"/>
  <c r="Q32" i="24"/>
  <c r="Q74" i="24" s="1"/>
  <c r="M20" i="24"/>
  <c r="M62" i="24" s="1"/>
  <c r="AB12" i="7"/>
  <c r="L53" i="9"/>
  <c r="S10" i="12"/>
  <c r="Q10" i="24"/>
  <c r="Q52" i="24" s="1"/>
  <c r="X53" i="9"/>
  <c r="AB27" i="7"/>
  <c r="S37" i="12"/>
  <c r="Q37" i="24"/>
  <c r="Q79" i="24" s="1"/>
  <c r="AC25" i="8"/>
  <c r="X38" i="8"/>
  <c r="W38" i="23" s="1"/>
  <c r="W90" i="23" s="1"/>
  <c r="T25" i="13"/>
  <c r="W25" i="13" s="1"/>
  <c r="T25" i="12"/>
  <c r="W25" i="11"/>
  <c r="T21" i="12"/>
  <c r="W21" i="12" s="1"/>
  <c r="T21" i="13"/>
  <c r="W21" i="13" s="1"/>
  <c r="R21" i="24"/>
  <c r="R63" i="24" s="1"/>
  <c r="W21" i="11"/>
  <c r="T39" i="12"/>
  <c r="T39" i="13"/>
  <c r="W39" i="13" s="1"/>
  <c r="W39" i="11"/>
  <c r="T26" i="12"/>
  <c r="W26" i="12" s="1"/>
  <c r="T26" i="13"/>
  <c r="W26" i="13" s="1"/>
  <c r="W26" i="11"/>
  <c r="R26" i="24"/>
  <c r="R68" i="24" s="1"/>
  <c r="T18" i="12"/>
  <c r="T18" i="13"/>
  <c r="W18" i="13" s="1"/>
  <c r="W18" i="11"/>
  <c r="AC21" i="8"/>
  <c r="AB5" i="7"/>
  <c r="AH46" i="8"/>
  <c r="AD46" i="23" s="1"/>
  <c r="AD98" i="23" s="1"/>
  <c r="AH25" i="8"/>
  <c r="AD25" i="23" s="1"/>
  <c r="AD77" i="23" s="1"/>
  <c r="AH42" i="8"/>
  <c r="AD42" i="23" s="1"/>
  <c r="AD94" i="23" s="1"/>
  <c r="AH12" i="8"/>
  <c r="AD12" i="23" s="1"/>
  <c r="AD64" i="23" s="1"/>
  <c r="AH14" i="8"/>
  <c r="AD14" i="23" s="1"/>
  <c r="AD66" i="23" s="1"/>
  <c r="AH9" i="8"/>
  <c r="AD9" i="23" s="1"/>
  <c r="AD61" i="23" s="1"/>
  <c r="AH23" i="8"/>
  <c r="AD23" i="23" s="1"/>
  <c r="AD75" i="23" s="1"/>
  <c r="AH49" i="8"/>
  <c r="AD49" i="23" s="1"/>
  <c r="AD101" i="23" s="1"/>
  <c r="AH32" i="8"/>
  <c r="AD32" i="23" s="1"/>
  <c r="AD84" i="23" s="1"/>
  <c r="AH31" i="8"/>
  <c r="AD31" i="23" s="1"/>
  <c r="AD83" i="23" s="1"/>
  <c r="AH17" i="8"/>
  <c r="AD17" i="23" s="1"/>
  <c r="AD69" i="23" s="1"/>
  <c r="AH24" i="8"/>
  <c r="AD24" i="23" s="1"/>
  <c r="AD76" i="23" s="1"/>
  <c r="AH13" i="8"/>
  <c r="AD13" i="23" s="1"/>
  <c r="AD65" i="23" s="1"/>
  <c r="AH34" i="8"/>
  <c r="AD34" i="23" s="1"/>
  <c r="AD86" i="23" s="1"/>
  <c r="AH8" i="8"/>
  <c r="AD8" i="23" s="1"/>
  <c r="AD60" i="23" s="1"/>
  <c r="AH43" i="8"/>
  <c r="AD43" i="23" s="1"/>
  <c r="AD95" i="23" s="1"/>
  <c r="AH20" i="8"/>
  <c r="AD20" i="23" s="1"/>
  <c r="AD72" i="23" s="1"/>
  <c r="AH47" i="8"/>
  <c r="AD47" i="23" s="1"/>
  <c r="AD99" i="23" s="1"/>
  <c r="AH7" i="8"/>
  <c r="AD7" i="23" s="1"/>
  <c r="AD59" i="23" s="1"/>
  <c r="AH11" i="8"/>
  <c r="AD11" i="23" s="1"/>
  <c r="AD63" i="23" s="1"/>
  <c r="AH38" i="8"/>
  <c r="AD38" i="23" s="1"/>
  <c r="AD90" i="23" s="1"/>
  <c r="AH18" i="8"/>
  <c r="AD18" i="23" s="1"/>
  <c r="AD70" i="23" s="1"/>
  <c r="AH48" i="8"/>
  <c r="AD48" i="23" s="1"/>
  <c r="AD100" i="23" s="1"/>
  <c r="AH5" i="8"/>
  <c r="AH44" i="8"/>
  <c r="AD44" i="23" s="1"/>
  <c r="AD96" i="23" s="1"/>
  <c r="AH37" i="8"/>
  <c r="AD37" i="23" s="1"/>
  <c r="AD89" i="23" s="1"/>
  <c r="AH26" i="8"/>
  <c r="AD26" i="23" s="1"/>
  <c r="AD78" i="23" s="1"/>
  <c r="AH28" i="8"/>
  <c r="AD28" i="23" s="1"/>
  <c r="AD80" i="23" s="1"/>
  <c r="AH51" i="8"/>
  <c r="AD51" i="23" s="1"/>
  <c r="AD103" i="23" s="1"/>
  <c r="AH41" i="8"/>
  <c r="AD41" i="23" s="1"/>
  <c r="AD93" i="23" s="1"/>
  <c r="AH40" i="8"/>
  <c r="AD40" i="23" s="1"/>
  <c r="AD92" i="23" s="1"/>
  <c r="AH22" i="8"/>
  <c r="AD22" i="23" s="1"/>
  <c r="AD74" i="23" s="1"/>
  <c r="AH16" i="8"/>
  <c r="AD16" i="23" s="1"/>
  <c r="AD68" i="23" s="1"/>
  <c r="AH15" i="8"/>
  <c r="AD15" i="23" s="1"/>
  <c r="AD67" i="23" s="1"/>
  <c r="AH29" i="8"/>
  <c r="AD29" i="23" s="1"/>
  <c r="AD81" i="23" s="1"/>
  <c r="AH39" i="8"/>
  <c r="AD39" i="23" s="1"/>
  <c r="AD91" i="23" s="1"/>
  <c r="AH30" i="8"/>
  <c r="AD30" i="23" s="1"/>
  <c r="AD82" i="23" s="1"/>
  <c r="AH45" i="8"/>
  <c r="AD45" i="23" s="1"/>
  <c r="AD97" i="23" s="1"/>
  <c r="AH50" i="8"/>
  <c r="AD50" i="23" s="1"/>
  <c r="AD102" i="23" s="1"/>
  <c r="AH6" i="8"/>
  <c r="AD6" i="23" s="1"/>
  <c r="AD58" i="23" s="1"/>
  <c r="AH21" i="8"/>
  <c r="AD21" i="23" s="1"/>
  <c r="AD73" i="23" s="1"/>
  <c r="AH10" i="8"/>
  <c r="AD10" i="23" s="1"/>
  <c r="AD62" i="23" s="1"/>
  <c r="AH35" i="8"/>
  <c r="AD35" i="23" s="1"/>
  <c r="AD87" i="23" s="1"/>
  <c r="AH33" i="8"/>
  <c r="AD33" i="23" s="1"/>
  <c r="AD85" i="23" s="1"/>
  <c r="AH19" i="8"/>
  <c r="AD19" i="23" s="1"/>
  <c r="AD71" i="23" s="1"/>
  <c r="AH36" i="8"/>
  <c r="AD36" i="23" s="1"/>
  <c r="AD88" i="23" s="1"/>
  <c r="M27" i="9"/>
  <c r="S11" i="12"/>
  <c r="Q11" i="24"/>
  <c r="Q53" i="24" s="1"/>
  <c r="AC10" i="8"/>
  <c r="AC32" i="8"/>
  <c r="L40" i="23"/>
  <c r="L92" i="23" s="1"/>
  <c r="L42" i="23"/>
  <c r="L94" i="23" s="1"/>
  <c r="S43" i="11"/>
  <c r="W7" i="23"/>
  <c r="W59" i="23" s="1"/>
  <c r="Q38" i="23"/>
  <c r="Q90" i="23" s="1"/>
  <c r="S30" i="12"/>
  <c r="Q30" i="24"/>
  <c r="Q72" i="24" s="1"/>
  <c r="Q21" i="11"/>
  <c r="AB21" i="11" s="1"/>
  <c r="O21" i="12"/>
  <c r="O21" i="13"/>
  <c r="Q21" i="13" s="1"/>
  <c r="Q38" i="11"/>
  <c r="AB38" i="11" s="1"/>
  <c r="O38" i="12"/>
  <c r="O38" i="13"/>
  <c r="Q38" i="13" s="1"/>
  <c r="O22" i="12"/>
  <c r="Q22" i="11"/>
  <c r="AB22" i="11" s="1"/>
  <c r="O22" i="13"/>
  <c r="Q22" i="13" s="1"/>
  <c r="O26" i="13"/>
  <c r="Q26" i="11"/>
  <c r="AB26" i="11" s="1"/>
  <c r="O26" i="12"/>
  <c r="O40" i="12"/>
  <c r="O40" i="13"/>
  <c r="Q40" i="13" s="1"/>
  <c r="Q40" i="11"/>
  <c r="M38" i="24"/>
  <c r="M80" i="24" s="1"/>
  <c r="W28" i="23"/>
  <c r="W80" i="23" s="1"/>
  <c r="P36" i="13"/>
  <c r="P36" i="12"/>
  <c r="P36" i="24" s="1"/>
  <c r="P78" i="24" s="1"/>
  <c r="P26" i="12"/>
  <c r="P26" i="24" s="1"/>
  <c r="P68" i="24" s="1"/>
  <c r="P26" i="13"/>
  <c r="P22" i="13"/>
  <c r="P22" i="12"/>
  <c r="P22" i="24" s="1"/>
  <c r="P64" i="24" s="1"/>
  <c r="P30" i="13"/>
  <c r="P30" i="12"/>
  <c r="P32" i="12"/>
  <c r="P32" i="13"/>
  <c r="AB42" i="7"/>
  <c r="AB9" i="7"/>
  <c r="V9" i="9"/>
  <c r="V34" i="9"/>
  <c r="AB34" i="7"/>
  <c r="AB33" i="7"/>
  <c r="V33" i="9"/>
  <c r="V47" i="9"/>
  <c r="L41" i="8"/>
  <c r="L41" i="23" s="1"/>
  <c r="L93" i="23" s="1"/>
  <c r="AD13" i="8"/>
  <c r="AA13" i="23"/>
  <c r="AA65" i="23" s="1"/>
  <c r="AD9" i="8"/>
  <c r="AA9" i="23"/>
  <c r="AA61" i="23" s="1"/>
  <c r="L20" i="8"/>
  <c r="L20" i="23" s="1"/>
  <c r="L72" i="23" s="1"/>
  <c r="L17" i="8"/>
  <c r="L17" i="23" s="1"/>
  <c r="L69" i="23" s="1"/>
  <c r="Q29" i="24"/>
  <c r="Q71" i="24" s="1"/>
  <c r="S29" i="12"/>
  <c r="AD27" i="8"/>
  <c r="AA27" i="23"/>
  <c r="AA79" i="23" s="1"/>
  <c r="AD51" i="8"/>
  <c r="AA51" i="23"/>
  <c r="AA103" i="23" s="1"/>
  <c r="AD53" i="7"/>
  <c r="M31" i="24"/>
  <c r="M73" i="24" s="1"/>
  <c r="T5" i="12"/>
  <c r="R5" i="24" s="1"/>
  <c r="R47" i="24" s="1"/>
  <c r="T5" i="13"/>
  <c r="T43" i="11"/>
  <c r="W5" i="11"/>
  <c r="W43" i="11" s="1"/>
  <c r="T8" i="12"/>
  <c r="W8" i="12" s="1"/>
  <c r="T8" i="13"/>
  <c r="W8" i="13" s="1"/>
  <c r="W8" i="11"/>
  <c r="T40" i="12"/>
  <c r="W40" i="12" s="1"/>
  <c r="T40" i="13"/>
  <c r="W40" i="13" s="1"/>
  <c r="W40" i="11"/>
  <c r="T38" i="13"/>
  <c r="W38" i="13" s="1"/>
  <c r="T38" i="12"/>
  <c r="W38" i="11"/>
  <c r="T32" i="12"/>
  <c r="T32" i="13"/>
  <c r="W32" i="13" s="1"/>
  <c r="W32" i="11"/>
  <c r="L47" i="8"/>
  <c r="L47" i="23" s="1"/>
  <c r="L99" i="23" s="1"/>
  <c r="S22" i="12"/>
  <c r="Q22" i="24"/>
  <c r="Q64" i="24" s="1"/>
  <c r="W11" i="8"/>
  <c r="V11" i="23" s="1"/>
  <c r="V63" i="23" s="1"/>
  <c r="M24" i="24"/>
  <c r="M66" i="24" s="1"/>
  <c r="U25" i="8"/>
  <c r="T25" i="23" s="1"/>
  <c r="T77" i="23" s="1"/>
  <c r="U28" i="8"/>
  <c r="T28" i="23" s="1"/>
  <c r="T80" i="23" s="1"/>
  <c r="U41" i="8"/>
  <c r="T41" i="23" s="1"/>
  <c r="T93" i="23" s="1"/>
  <c r="U21" i="8"/>
  <c r="T21" i="23" s="1"/>
  <c r="T73" i="23" s="1"/>
  <c r="U24" i="8"/>
  <c r="T24" i="23" s="1"/>
  <c r="T76" i="23" s="1"/>
  <c r="U17" i="8"/>
  <c r="T17" i="23" s="1"/>
  <c r="T69" i="23" s="1"/>
  <c r="U10" i="8"/>
  <c r="T10" i="23" s="1"/>
  <c r="T62" i="23" s="1"/>
  <c r="U5" i="8"/>
  <c r="U12" i="8"/>
  <c r="T12" i="23" s="1"/>
  <c r="T64" i="23" s="1"/>
  <c r="U18" i="8"/>
  <c r="T18" i="23" s="1"/>
  <c r="T70" i="23" s="1"/>
  <c r="U14" i="8"/>
  <c r="T14" i="23" s="1"/>
  <c r="T66" i="23" s="1"/>
  <c r="U45" i="8"/>
  <c r="T45" i="23" s="1"/>
  <c r="T97" i="23" s="1"/>
  <c r="U31" i="8"/>
  <c r="T31" i="23" s="1"/>
  <c r="T83" i="23" s="1"/>
  <c r="U42" i="8"/>
  <c r="T42" i="23" s="1"/>
  <c r="T94" i="23" s="1"/>
  <c r="U16" i="8"/>
  <c r="T16" i="23" s="1"/>
  <c r="T68" i="23" s="1"/>
  <c r="U7" i="8"/>
  <c r="T7" i="23" s="1"/>
  <c r="T59" i="23" s="1"/>
  <c r="U22" i="8"/>
  <c r="T22" i="23" s="1"/>
  <c r="T74" i="23" s="1"/>
  <c r="U48" i="8"/>
  <c r="T48" i="23" s="1"/>
  <c r="T100" i="23" s="1"/>
  <c r="U47" i="8"/>
  <c r="T47" i="23" s="1"/>
  <c r="T99" i="23" s="1"/>
  <c r="U19" i="8"/>
  <c r="T19" i="23" s="1"/>
  <c r="T71" i="23" s="1"/>
  <c r="U27" i="8"/>
  <c r="T27" i="23" s="1"/>
  <c r="T79" i="23" s="1"/>
  <c r="U43" i="8"/>
  <c r="T43" i="23" s="1"/>
  <c r="T95" i="23" s="1"/>
  <c r="U13" i="8"/>
  <c r="U35" i="8"/>
  <c r="T35" i="23" s="1"/>
  <c r="T87" i="23" s="1"/>
  <c r="U26" i="8"/>
  <c r="T26" i="23" s="1"/>
  <c r="T78" i="23" s="1"/>
  <c r="U29" i="8"/>
  <c r="T29" i="23" s="1"/>
  <c r="T81" i="23" s="1"/>
  <c r="U33" i="8"/>
  <c r="T33" i="23" s="1"/>
  <c r="T85" i="23" s="1"/>
  <c r="U37" i="8"/>
  <c r="T37" i="23" s="1"/>
  <c r="T89" i="23" s="1"/>
  <c r="U50" i="8"/>
  <c r="T50" i="23" s="1"/>
  <c r="T102" i="23" s="1"/>
  <c r="U30" i="8"/>
  <c r="T30" i="23" s="1"/>
  <c r="T82" i="23" s="1"/>
  <c r="U38" i="8"/>
  <c r="T38" i="23" s="1"/>
  <c r="T90" i="23" s="1"/>
  <c r="U46" i="8"/>
  <c r="T46" i="23" s="1"/>
  <c r="T98" i="23" s="1"/>
  <c r="U11" i="8"/>
  <c r="U51" i="8"/>
  <c r="T51" i="23" s="1"/>
  <c r="T103" i="23" s="1"/>
  <c r="U20" i="8"/>
  <c r="T20" i="23" s="1"/>
  <c r="T72" i="23" s="1"/>
  <c r="U36" i="8"/>
  <c r="T36" i="23" s="1"/>
  <c r="T88" i="23" s="1"/>
  <c r="U40" i="8"/>
  <c r="T40" i="23" s="1"/>
  <c r="T92" i="23" s="1"/>
  <c r="U32" i="8"/>
  <c r="U8" i="8"/>
  <c r="T8" i="23" s="1"/>
  <c r="T60" i="23" s="1"/>
  <c r="U15" i="8"/>
  <c r="T15" i="23" s="1"/>
  <c r="T67" i="23" s="1"/>
  <c r="U34" i="8"/>
  <c r="U49" i="8"/>
  <c r="T49" i="23" s="1"/>
  <c r="T101" i="23" s="1"/>
  <c r="U44" i="8"/>
  <c r="T44" i="23" s="1"/>
  <c r="T96" i="23" s="1"/>
  <c r="U23" i="8"/>
  <c r="U9" i="8"/>
  <c r="U39" i="8"/>
  <c r="T39" i="23" s="1"/>
  <c r="T91" i="23" s="1"/>
  <c r="U6" i="8"/>
  <c r="T6" i="23" s="1"/>
  <c r="T58" i="23" s="1"/>
  <c r="M6" i="9"/>
  <c r="M12" i="8"/>
  <c r="M12" i="23" s="1"/>
  <c r="M64" i="23" s="1"/>
  <c r="M12" i="9"/>
  <c r="L51" i="8"/>
  <c r="L51" i="23" s="1"/>
  <c r="L103" i="23" s="1"/>
  <c r="L38" i="8"/>
  <c r="L38" i="23" s="1"/>
  <c r="L90" i="23" s="1"/>
  <c r="W17" i="8"/>
  <c r="V17" i="23" s="1"/>
  <c r="V69" i="23" s="1"/>
  <c r="L15" i="26"/>
  <c r="L14" i="26"/>
  <c r="B15" i="26"/>
  <c r="B14" i="26"/>
  <c r="U9" i="25"/>
  <c r="B7" i="26"/>
  <c r="B13" i="26" s="1"/>
  <c r="B11" i="26"/>
  <c r="I9" i="26"/>
  <c r="I11" i="26"/>
  <c r="I7" i="26"/>
  <c r="I13" i="26" s="1"/>
  <c r="L11" i="26"/>
  <c r="U11" i="25"/>
  <c r="U7" i="25"/>
  <c r="U13" i="25" s="1"/>
  <c r="D15" i="26"/>
  <c r="D14" i="26"/>
  <c r="L7" i="26"/>
  <c r="L13" i="26" s="1"/>
  <c r="Y33" i="13"/>
  <c r="AB33" i="13" s="1"/>
  <c r="AM58" i="6"/>
  <c r="AM56" i="9"/>
  <c r="AM56" i="8"/>
  <c r="AM56" i="7"/>
  <c r="X10" i="13"/>
  <c r="X21" i="13"/>
  <c r="X30" i="13"/>
  <c r="AB46" i="12"/>
  <c r="AB46" i="13"/>
  <c r="AB46" i="11"/>
  <c r="AB46" i="10"/>
  <c r="E43" i="5"/>
  <c r="X45" i="13"/>
  <c r="X45" i="12"/>
  <c r="X45" i="11"/>
  <c r="X48" i="11" s="1"/>
  <c r="X45" i="10"/>
  <c r="AE55" i="9"/>
  <c r="AE55" i="8"/>
  <c r="AO54" i="8" s="1"/>
  <c r="AE55" i="7"/>
  <c r="X41" i="13"/>
  <c r="AI53" i="8"/>
  <c r="X19" i="12"/>
  <c r="Y19" i="12" s="1"/>
  <c r="X19" i="13"/>
  <c r="E23" i="5"/>
  <c r="E29" i="5" s="1"/>
  <c r="AE57" i="6"/>
  <c r="Y19" i="9" l="1"/>
  <c r="AB19" i="9" s="1"/>
  <c r="AB19" i="7"/>
  <c r="X7" i="13"/>
  <c r="Y7" i="13" s="1"/>
  <c r="M19" i="8"/>
  <c r="M19" i="23" s="1"/>
  <c r="M71" i="23" s="1"/>
  <c r="M39" i="8"/>
  <c r="M39" i="23" s="1"/>
  <c r="M91" i="23" s="1"/>
  <c r="M36" i="8"/>
  <c r="M36" i="23" s="1"/>
  <c r="M88" i="23" s="1"/>
  <c r="M32" i="8"/>
  <c r="M32" i="23" s="1"/>
  <c r="M84" i="23" s="1"/>
  <c r="M44" i="8"/>
  <c r="M44" i="23" s="1"/>
  <c r="M96" i="23" s="1"/>
  <c r="M17" i="8"/>
  <c r="M17" i="23" s="1"/>
  <c r="M69" i="23" s="1"/>
  <c r="M33" i="8"/>
  <c r="M33" i="23" s="1"/>
  <c r="M85" i="23" s="1"/>
  <c r="M35" i="8"/>
  <c r="M35" i="23" s="1"/>
  <c r="M87" i="23" s="1"/>
  <c r="M41" i="8"/>
  <c r="M41" i="23" s="1"/>
  <c r="M93" i="23" s="1"/>
  <c r="M24" i="8"/>
  <c r="M24" i="23" s="1"/>
  <c r="M76" i="23" s="1"/>
  <c r="M10" i="8"/>
  <c r="M10" i="23" s="1"/>
  <c r="M62" i="23" s="1"/>
  <c r="M25" i="8"/>
  <c r="M25" i="23" s="1"/>
  <c r="M77" i="23" s="1"/>
  <c r="M18" i="8"/>
  <c r="M18" i="23" s="1"/>
  <c r="M70" i="23" s="1"/>
  <c r="M40" i="8"/>
  <c r="M40" i="23" s="1"/>
  <c r="M92" i="23" s="1"/>
  <c r="M48" i="8"/>
  <c r="M48" i="23" s="1"/>
  <c r="M100" i="23" s="1"/>
  <c r="M45" i="8"/>
  <c r="M45" i="23" s="1"/>
  <c r="M97" i="23" s="1"/>
  <c r="M16" i="8"/>
  <c r="M16" i="23" s="1"/>
  <c r="M68" i="23" s="1"/>
  <c r="M26" i="8"/>
  <c r="M26" i="23" s="1"/>
  <c r="M78" i="23" s="1"/>
  <c r="M49" i="8"/>
  <c r="M49" i="23" s="1"/>
  <c r="M101" i="23" s="1"/>
  <c r="M50" i="8"/>
  <c r="M50" i="23" s="1"/>
  <c r="M102" i="23" s="1"/>
  <c r="M15" i="8"/>
  <c r="M15" i="23" s="1"/>
  <c r="M67" i="23" s="1"/>
  <c r="M11" i="8"/>
  <c r="M11" i="23" s="1"/>
  <c r="M63" i="23" s="1"/>
  <c r="M8" i="8"/>
  <c r="M8" i="23" s="1"/>
  <c r="M60" i="23" s="1"/>
  <c r="M5" i="8"/>
  <c r="M43" i="8"/>
  <c r="M43" i="23" s="1"/>
  <c r="M95" i="23" s="1"/>
  <c r="M42" i="8"/>
  <c r="M42" i="23" s="1"/>
  <c r="M94" i="23" s="1"/>
  <c r="M31" i="8"/>
  <c r="M31" i="23" s="1"/>
  <c r="M83" i="23" s="1"/>
  <c r="M46" i="8"/>
  <c r="M46" i="23" s="1"/>
  <c r="M98" i="23" s="1"/>
  <c r="M9" i="8"/>
  <c r="M9" i="23" s="1"/>
  <c r="M61" i="23" s="1"/>
  <c r="M23" i="8"/>
  <c r="M23" i="23" s="1"/>
  <c r="M75" i="23" s="1"/>
  <c r="M14" i="8"/>
  <c r="M14" i="23" s="1"/>
  <c r="M66" i="23" s="1"/>
  <c r="M29" i="8"/>
  <c r="M29" i="23" s="1"/>
  <c r="M81" i="23" s="1"/>
  <c r="M21" i="8"/>
  <c r="M21" i="23" s="1"/>
  <c r="M73" i="23" s="1"/>
  <c r="M38" i="8"/>
  <c r="M38" i="23" s="1"/>
  <c r="M90" i="23" s="1"/>
  <c r="M30" i="8"/>
  <c r="M30" i="23" s="1"/>
  <c r="M82" i="23" s="1"/>
  <c r="M22" i="8"/>
  <c r="M22" i="23" s="1"/>
  <c r="M74" i="23" s="1"/>
  <c r="M13" i="8"/>
  <c r="M13" i="23" s="1"/>
  <c r="M65" i="23" s="1"/>
  <c r="M28" i="8"/>
  <c r="M28" i="23" s="1"/>
  <c r="M80" i="23" s="1"/>
  <c r="M20" i="8"/>
  <c r="M20" i="23" s="1"/>
  <c r="M72" i="23" s="1"/>
  <c r="M37" i="8"/>
  <c r="M37" i="23" s="1"/>
  <c r="M89" i="23" s="1"/>
  <c r="AA5" i="23"/>
  <c r="AA57" i="23" s="1"/>
  <c r="AC53" i="8"/>
  <c r="AD5" i="8"/>
  <c r="AD49" i="8"/>
  <c r="AA49" i="23"/>
  <c r="AA101" i="23" s="1"/>
  <c r="AB51" i="7"/>
  <c r="O27" i="24"/>
  <c r="O69" i="24" s="1"/>
  <c r="Q27" i="12"/>
  <c r="G9" i="26"/>
  <c r="G7" i="26"/>
  <c r="G13" i="26" s="1"/>
  <c r="G11" i="26"/>
  <c r="X26" i="13"/>
  <c r="Y26" i="13" s="1"/>
  <c r="AB26" i="13" s="1"/>
  <c r="S19" i="28" s="1"/>
  <c r="T23" i="23"/>
  <c r="T75" i="23" s="1"/>
  <c r="R40" i="24"/>
  <c r="R82" i="24" s="1"/>
  <c r="P32" i="24"/>
  <c r="P74" i="24" s="1"/>
  <c r="Q26" i="13"/>
  <c r="O21" i="24"/>
  <c r="O63" i="24" s="1"/>
  <c r="Q21" i="12"/>
  <c r="R39" i="24"/>
  <c r="R81" i="24" s="1"/>
  <c r="W39" i="12"/>
  <c r="P8" i="24"/>
  <c r="P50" i="24" s="1"/>
  <c r="P14" i="24"/>
  <c r="P56" i="24" s="1"/>
  <c r="O16" i="24"/>
  <c r="O58" i="24" s="1"/>
  <c r="Q16" i="12"/>
  <c r="AD41" i="8"/>
  <c r="AA41" i="23"/>
  <c r="AA93" i="23" s="1"/>
  <c r="R20" i="24"/>
  <c r="R62" i="24" s="1"/>
  <c r="W20" i="12"/>
  <c r="R37" i="24"/>
  <c r="R79" i="24" s="1"/>
  <c r="W5" i="23"/>
  <c r="W57" i="23" s="1"/>
  <c r="X53" i="8"/>
  <c r="O43" i="13"/>
  <c r="Q5" i="13"/>
  <c r="Q8" i="13"/>
  <c r="AD22" i="8"/>
  <c r="AA22" i="23"/>
  <c r="AA74" i="23" s="1"/>
  <c r="P15" i="24"/>
  <c r="P57" i="24" s="1"/>
  <c r="AB12" i="11"/>
  <c r="X12" i="13" s="1"/>
  <c r="Y12" i="13" s="1"/>
  <c r="AB12" i="13" s="1"/>
  <c r="Y7" i="9"/>
  <c r="Y27" i="9"/>
  <c r="AB27" i="9" s="1"/>
  <c r="Y36" i="9"/>
  <c r="AB36" i="9" s="1"/>
  <c r="Y41" i="9"/>
  <c r="AB41" i="9" s="1"/>
  <c r="Y14" i="9"/>
  <c r="Y24" i="9"/>
  <c r="AB24" i="9" s="1"/>
  <c r="R15" i="24"/>
  <c r="R57" i="24" s="1"/>
  <c r="P17" i="24"/>
  <c r="P59" i="24" s="1"/>
  <c r="Q41" i="13"/>
  <c r="AD12" i="8"/>
  <c r="AA12" i="23"/>
  <c r="AA64" i="23" s="1"/>
  <c r="R22" i="24"/>
  <c r="R64" i="24" s="1"/>
  <c r="W22" i="12"/>
  <c r="O9" i="24"/>
  <c r="O51" i="24" s="1"/>
  <c r="Q9" i="12"/>
  <c r="AD16" i="8"/>
  <c r="AA16" i="23"/>
  <c r="AA68" i="23" s="1"/>
  <c r="AB30" i="9"/>
  <c r="Q11" i="13"/>
  <c r="Q18" i="13"/>
  <c r="AD36" i="8"/>
  <c r="AA36" i="23"/>
  <c r="AA88" i="23" s="1"/>
  <c r="AD19" i="8"/>
  <c r="AA19" i="23"/>
  <c r="AA71" i="23" s="1"/>
  <c r="P34" i="24"/>
  <c r="P76" i="24" s="1"/>
  <c r="Q10" i="13"/>
  <c r="R16" i="24"/>
  <c r="R58" i="24" s="1"/>
  <c r="W16" i="12"/>
  <c r="O19" i="24"/>
  <c r="O61" i="24" s="1"/>
  <c r="Q19" i="12"/>
  <c r="R34" i="24"/>
  <c r="R76" i="24" s="1"/>
  <c r="W34" i="12"/>
  <c r="R27" i="24"/>
  <c r="R69" i="24" s="1"/>
  <c r="W27" i="12"/>
  <c r="X29" i="13"/>
  <c r="Y29" i="13" s="1"/>
  <c r="AB29" i="13" s="1"/>
  <c r="S23" i="28" s="1"/>
  <c r="P30" i="24"/>
  <c r="P72" i="24" s="1"/>
  <c r="AD32" i="8"/>
  <c r="AA32" i="23"/>
  <c r="AA84" i="23" s="1"/>
  <c r="R18" i="24"/>
  <c r="R60" i="24" s="1"/>
  <c r="W18" i="12"/>
  <c r="AD25" i="8"/>
  <c r="AA25" i="23"/>
  <c r="AA77" i="23" s="1"/>
  <c r="Q15" i="13"/>
  <c r="O35" i="24"/>
  <c r="O77" i="24" s="1"/>
  <c r="Q35" i="12"/>
  <c r="O8" i="24"/>
  <c r="O50" i="24" s="1"/>
  <c r="Q8" i="12"/>
  <c r="P5" i="23"/>
  <c r="P57" i="23" s="1"/>
  <c r="P53" i="8"/>
  <c r="Y10" i="9"/>
  <c r="AB10" i="9" s="1"/>
  <c r="Y48" i="9"/>
  <c r="Y31" i="9"/>
  <c r="AB31" i="9" s="1"/>
  <c r="Y6" i="9"/>
  <c r="Y23" i="9"/>
  <c r="Y45" i="9"/>
  <c r="AB45" i="9" s="1"/>
  <c r="AB41" i="7"/>
  <c r="O41" i="24"/>
  <c r="O83" i="24" s="1"/>
  <c r="Q41" i="12"/>
  <c r="AB9" i="11"/>
  <c r="X23" i="13"/>
  <c r="Y23" i="13" s="1"/>
  <c r="AB23" i="13" s="1"/>
  <c r="R36" i="24"/>
  <c r="R78" i="24" s="1"/>
  <c r="AB18" i="11"/>
  <c r="X18" i="13" s="1"/>
  <c r="Y18" i="13" s="1"/>
  <c r="AD23" i="8"/>
  <c r="AA23" i="23"/>
  <c r="AA75" i="23" s="1"/>
  <c r="AA31" i="23"/>
  <c r="AA83" i="23" s="1"/>
  <c r="AD31" i="8"/>
  <c r="AD14" i="8"/>
  <c r="AA14" i="23"/>
  <c r="AA66" i="23" s="1"/>
  <c r="AB49" i="9"/>
  <c r="O10" i="24"/>
  <c r="O52" i="24" s="1"/>
  <c r="Q10" i="12"/>
  <c r="O34" i="24"/>
  <c r="O76" i="24" s="1"/>
  <c r="Q34" i="12"/>
  <c r="O15" i="25"/>
  <c r="Y40" i="9"/>
  <c r="AB40" i="9" s="1"/>
  <c r="AB40" i="7"/>
  <c r="X24" i="13"/>
  <c r="Y24" i="13" s="1"/>
  <c r="O12" i="24"/>
  <c r="O54" i="24" s="1"/>
  <c r="Q12" i="12"/>
  <c r="Y20" i="9"/>
  <c r="AB20" i="9" s="1"/>
  <c r="AB20" i="7"/>
  <c r="Y46" i="9"/>
  <c r="AB46" i="9" s="1"/>
  <c r="AB46" i="7"/>
  <c r="Y15" i="9"/>
  <c r="Y28" i="9"/>
  <c r="Y30" i="9"/>
  <c r="Y26" i="9"/>
  <c r="AB39" i="11"/>
  <c r="O23" i="24"/>
  <c r="O65" i="24" s="1"/>
  <c r="Q23" i="12"/>
  <c r="V43" i="8"/>
  <c r="V26" i="8"/>
  <c r="V45" i="8"/>
  <c r="V12" i="8"/>
  <c r="V18" i="8"/>
  <c r="V44" i="8"/>
  <c r="U44" i="23" s="1"/>
  <c r="U96" i="23" s="1"/>
  <c r="V33" i="8"/>
  <c r="V37" i="8"/>
  <c r="V36" i="8"/>
  <c r="V35" i="8"/>
  <c r="V46" i="8"/>
  <c r="V28" i="8"/>
  <c r="U28" i="23" s="1"/>
  <c r="U80" i="23" s="1"/>
  <c r="V8" i="8"/>
  <c r="V7" i="8"/>
  <c r="V6" i="8"/>
  <c r="V17" i="8"/>
  <c r="U17" i="23" s="1"/>
  <c r="U69" i="23" s="1"/>
  <c r="V13" i="8"/>
  <c r="U13" i="23" s="1"/>
  <c r="U65" i="23" s="1"/>
  <c r="V50" i="8"/>
  <c r="U50" i="23" s="1"/>
  <c r="U102" i="23" s="1"/>
  <c r="V20" i="8"/>
  <c r="U20" i="23" s="1"/>
  <c r="U72" i="23" s="1"/>
  <c r="V48" i="8"/>
  <c r="U48" i="23" s="1"/>
  <c r="U100" i="23" s="1"/>
  <c r="V40" i="8"/>
  <c r="U40" i="23" s="1"/>
  <c r="U92" i="23" s="1"/>
  <c r="V29" i="8"/>
  <c r="U29" i="23" s="1"/>
  <c r="U81" i="23" s="1"/>
  <c r="V41" i="8"/>
  <c r="V49" i="8"/>
  <c r="U49" i="23" s="1"/>
  <c r="U101" i="23" s="1"/>
  <c r="V15" i="8"/>
  <c r="V31" i="8"/>
  <c r="U31" i="23" s="1"/>
  <c r="U83" i="23" s="1"/>
  <c r="V22" i="8"/>
  <c r="V38" i="8"/>
  <c r="V23" i="8"/>
  <c r="U23" i="23" s="1"/>
  <c r="U75" i="23" s="1"/>
  <c r="V47" i="8"/>
  <c r="V42" i="8"/>
  <c r="V11" i="8"/>
  <c r="U11" i="23" s="1"/>
  <c r="U63" i="23" s="1"/>
  <c r="V9" i="8"/>
  <c r="U9" i="23" s="1"/>
  <c r="U61" i="23" s="1"/>
  <c r="V21" i="8"/>
  <c r="V19" i="8"/>
  <c r="V30" i="8"/>
  <c r="V34" i="8"/>
  <c r="U34" i="23" s="1"/>
  <c r="U86" i="23" s="1"/>
  <c r="V39" i="8"/>
  <c r="V5" i="8"/>
  <c r="V25" i="8"/>
  <c r="V51" i="8"/>
  <c r="U51" i="23" s="1"/>
  <c r="U103" i="23" s="1"/>
  <c r="V14" i="8"/>
  <c r="U14" i="23" s="1"/>
  <c r="U66" i="23" s="1"/>
  <c r="V32" i="8"/>
  <c r="U32" i="23" s="1"/>
  <c r="U84" i="23" s="1"/>
  <c r="V16" i="8"/>
  <c r="V10" i="8"/>
  <c r="V27" i="8"/>
  <c r="U27" i="23" s="1"/>
  <c r="U79" i="23" s="1"/>
  <c r="V24" i="8"/>
  <c r="U24" i="23" s="1"/>
  <c r="U76" i="23" s="1"/>
  <c r="Q17" i="13"/>
  <c r="O18" i="24"/>
  <c r="O60" i="24" s="1"/>
  <c r="Q18" i="12"/>
  <c r="AD45" i="8"/>
  <c r="AA45" i="23"/>
  <c r="AA97" i="23" s="1"/>
  <c r="R41" i="24"/>
  <c r="R83" i="24" s="1"/>
  <c r="W41" i="12"/>
  <c r="AD46" i="8"/>
  <c r="AA46" i="23"/>
  <c r="AA98" i="23" s="1"/>
  <c r="AD34" i="8"/>
  <c r="AA34" i="23"/>
  <c r="AA86" i="23" s="1"/>
  <c r="AB32" i="11"/>
  <c r="AB34" i="11"/>
  <c r="X34" i="13" s="1"/>
  <c r="Y34" i="13" s="1"/>
  <c r="AB34" i="13" s="1"/>
  <c r="Y11" i="9"/>
  <c r="AB11" i="9" s="1"/>
  <c r="X22" i="13"/>
  <c r="Y22" i="13" s="1"/>
  <c r="AB22" i="13" s="1"/>
  <c r="S14" i="28" s="1"/>
  <c r="AB28" i="9"/>
  <c r="O15" i="24"/>
  <c r="O57" i="24" s="1"/>
  <c r="Q15" i="12"/>
  <c r="T34" i="23"/>
  <c r="T86" i="23" s="1"/>
  <c r="T11" i="23"/>
  <c r="T63" i="23" s="1"/>
  <c r="R32" i="24"/>
  <c r="R74" i="24" s="1"/>
  <c r="W32" i="12"/>
  <c r="T43" i="12"/>
  <c r="W5" i="12"/>
  <c r="AB40" i="11"/>
  <c r="O22" i="24"/>
  <c r="O64" i="24" s="1"/>
  <c r="Q22" i="12"/>
  <c r="AB28" i="7"/>
  <c r="AB37" i="11"/>
  <c r="AB15" i="11"/>
  <c r="R7" i="24"/>
  <c r="R49" i="24" s="1"/>
  <c r="W7" i="12"/>
  <c r="P25" i="24"/>
  <c r="P67" i="24" s="1"/>
  <c r="Q24" i="13"/>
  <c r="S29" i="8"/>
  <c r="S7" i="8"/>
  <c r="S36" i="8"/>
  <c r="S39" i="8"/>
  <c r="S20" i="8"/>
  <c r="S42" i="8"/>
  <c r="S37" i="8"/>
  <c r="S25" i="8"/>
  <c r="S26" i="8"/>
  <c r="S38" i="8"/>
  <c r="S9" i="8"/>
  <c r="S18" i="8"/>
  <c r="S32" i="8"/>
  <c r="S46" i="8"/>
  <c r="S27" i="8"/>
  <c r="S23" i="8"/>
  <c r="S24" i="8"/>
  <c r="S16" i="8"/>
  <c r="S51" i="8"/>
  <c r="S28" i="8"/>
  <c r="S43" i="8"/>
  <c r="S33" i="8"/>
  <c r="S48" i="8"/>
  <c r="S14" i="8"/>
  <c r="S41" i="8"/>
  <c r="S11" i="8"/>
  <c r="S5" i="8"/>
  <c r="S13" i="8"/>
  <c r="S34" i="8"/>
  <c r="S40" i="8"/>
  <c r="S15" i="8"/>
  <c r="S6" i="8"/>
  <c r="S35" i="8"/>
  <c r="S17" i="8"/>
  <c r="S21" i="8"/>
  <c r="S45" i="8"/>
  <c r="S12" i="8"/>
  <c r="S19" i="8"/>
  <c r="S49" i="8"/>
  <c r="S50" i="8"/>
  <c r="S22" i="8"/>
  <c r="S44" i="8"/>
  <c r="S31" i="8"/>
  <c r="S47" i="8"/>
  <c r="S10" i="8"/>
  <c r="S8" i="8"/>
  <c r="S30" i="8"/>
  <c r="O36" i="24"/>
  <c r="O78" i="24" s="1"/>
  <c r="Q36" i="12"/>
  <c r="Y21" i="9"/>
  <c r="AB21" i="9" s="1"/>
  <c r="Y32" i="9"/>
  <c r="AB32" i="9" s="1"/>
  <c r="Y9" i="9"/>
  <c r="AB9" i="9" s="1"/>
  <c r="Y37" i="9"/>
  <c r="Y22" i="9"/>
  <c r="AB22" i="9" s="1"/>
  <c r="Y25" i="9"/>
  <c r="AB25" i="9" s="1"/>
  <c r="V5" i="23"/>
  <c r="V57" i="23" s="1"/>
  <c r="W53" i="8"/>
  <c r="AB31" i="11"/>
  <c r="X31" i="13" s="1"/>
  <c r="AB20" i="11"/>
  <c r="P23" i="24"/>
  <c r="P65" i="24" s="1"/>
  <c r="Q25" i="13"/>
  <c r="R10" i="24"/>
  <c r="R52" i="24" s="1"/>
  <c r="V53" i="9"/>
  <c r="P6" i="24"/>
  <c r="P48" i="24" s="1"/>
  <c r="O17" i="24"/>
  <c r="O59" i="24" s="1"/>
  <c r="Q17" i="12"/>
  <c r="R13" i="24"/>
  <c r="R55" i="24" s="1"/>
  <c r="W13" i="12"/>
  <c r="AD7" i="8"/>
  <c r="AA7" i="23"/>
  <c r="AA59" i="23" s="1"/>
  <c r="AA48" i="23"/>
  <c r="AA100" i="23" s="1"/>
  <c r="AD48" i="8"/>
  <c r="AD30" i="8"/>
  <c r="AA30" i="23"/>
  <c r="AA82" i="23" s="1"/>
  <c r="P35" i="24"/>
  <c r="P77" i="24" s="1"/>
  <c r="Q32" i="13"/>
  <c r="AB37" i="9"/>
  <c r="X8" i="13"/>
  <c r="Y8" i="13" s="1"/>
  <c r="X11" i="13"/>
  <c r="M6" i="8"/>
  <c r="M6" i="23" s="1"/>
  <c r="M58" i="23" s="1"/>
  <c r="T5" i="23"/>
  <c r="T57" i="23" s="1"/>
  <c r="U53" i="8"/>
  <c r="R8" i="24"/>
  <c r="R50" i="24" s="1"/>
  <c r="AB6" i="9"/>
  <c r="Q30" i="13"/>
  <c r="M51" i="8"/>
  <c r="M51" i="23" s="1"/>
  <c r="M103" i="23" s="1"/>
  <c r="O24" i="24"/>
  <c r="O66" i="24" s="1"/>
  <c r="Q24" i="12"/>
  <c r="AB26" i="9"/>
  <c r="R51" i="8"/>
  <c r="R51" i="23" s="1"/>
  <c r="R103" i="23" s="1"/>
  <c r="R22" i="8"/>
  <c r="R7" i="8"/>
  <c r="R7" i="23" s="1"/>
  <c r="R59" i="23" s="1"/>
  <c r="R43" i="8"/>
  <c r="R43" i="23" s="1"/>
  <c r="R95" i="23" s="1"/>
  <c r="R40" i="8"/>
  <c r="R40" i="23" s="1"/>
  <c r="R92" i="23" s="1"/>
  <c r="R48" i="8"/>
  <c r="R48" i="23" s="1"/>
  <c r="R100" i="23" s="1"/>
  <c r="R23" i="8"/>
  <c r="R29" i="8"/>
  <c r="R26" i="8"/>
  <c r="R5" i="8"/>
  <c r="R50" i="8"/>
  <c r="R50" i="23" s="1"/>
  <c r="R102" i="23" s="1"/>
  <c r="R34" i="8"/>
  <c r="R34" i="23" s="1"/>
  <c r="R86" i="23" s="1"/>
  <c r="R46" i="8"/>
  <c r="R46" i="23" s="1"/>
  <c r="R98" i="23" s="1"/>
  <c r="R36" i="8"/>
  <c r="R36" i="23" s="1"/>
  <c r="R88" i="23" s="1"/>
  <c r="R49" i="8"/>
  <c r="R49" i="23" s="1"/>
  <c r="R101" i="23" s="1"/>
  <c r="R35" i="8"/>
  <c r="R35" i="23" s="1"/>
  <c r="R87" i="23" s="1"/>
  <c r="R8" i="8"/>
  <c r="R8" i="23" s="1"/>
  <c r="R60" i="23" s="1"/>
  <c r="R21" i="8"/>
  <c r="R28" i="8"/>
  <c r="R32" i="8"/>
  <c r="R32" i="23" s="1"/>
  <c r="R84" i="23" s="1"/>
  <c r="R10" i="8"/>
  <c r="R10" i="23" s="1"/>
  <c r="R62" i="23" s="1"/>
  <c r="R39" i="8"/>
  <c r="R39" i="23" s="1"/>
  <c r="R91" i="23" s="1"/>
  <c r="R20" i="8"/>
  <c r="R20" i="23" s="1"/>
  <c r="R72" i="23" s="1"/>
  <c r="R30" i="8"/>
  <c r="R30" i="23" s="1"/>
  <c r="R82" i="23" s="1"/>
  <c r="R38" i="8"/>
  <c r="R38" i="23" s="1"/>
  <c r="R90" i="23" s="1"/>
  <c r="R41" i="8"/>
  <c r="R41" i="23" s="1"/>
  <c r="R93" i="23" s="1"/>
  <c r="R11" i="8"/>
  <c r="R11" i="23" s="1"/>
  <c r="R63" i="23" s="1"/>
  <c r="R37" i="8"/>
  <c r="R37" i="23" s="1"/>
  <c r="R89" i="23" s="1"/>
  <c r="R33" i="8"/>
  <c r="R33" i="23" s="1"/>
  <c r="R85" i="23" s="1"/>
  <c r="R45" i="8"/>
  <c r="R45" i="23" s="1"/>
  <c r="R97" i="23" s="1"/>
  <c r="R27" i="8"/>
  <c r="R15" i="8"/>
  <c r="R15" i="23" s="1"/>
  <c r="R67" i="23" s="1"/>
  <c r="R47" i="8"/>
  <c r="R47" i="23" s="1"/>
  <c r="R99" i="23" s="1"/>
  <c r="R25" i="8"/>
  <c r="R25" i="23" s="1"/>
  <c r="R77" i="23" s="1"/>
  <c r="R44" i="8"/>
  <c r="R44" i="23" s="1"/>
  <c r="R96" i="23" s="1"/>
  <c r="R6" i="8"/>
  <c r="R6" i="23" s="1"/>
  <c r="R58" i="23" s="1"/>
  <c r="R16" i="8"/>
  <c r="R16" i="23" s="1"/>
  <c r="R68" i="23" s="1"/>
  <c r="R12" i="8"/>
  <c r="R12" i="23" s="1"/>
  <c r="R64" i="23" s="1"/>
  <c r="R17" i="8"/>
  <c r="R17" i="23" s="1"/>
  <c r="R69" i="23" s="1"/>
  <c r="R13" i="8"/>
  <c r="R13" i="23" s="1"/>
  <c r="R65" i="23" s="1"/>
  <c r="R9" i="8"/>
  <c r="R9" i="23" s="1"/>
  <c r="R61" i="23" s="1"/>
  <c r="R19" i="8"/>
  <c r="R19" i="23" s="1"/>
  <c r="R71" i="23" s="1"/>
  <c r="R14" i="8"/>
  <c r="R14" i="23" s="1"/>
  <c r="R66" i="23" s="1"/>
  <c r="R31" i="8"/>
  <c r="R31" i="23" s="1"/>
  <c r="R83" i="23" s="1"/>
  <c r="R18" i="8"/>
  <c r="R18" i="23" s="1"/>
  <c r="R70" i="23" s="1"/>
  <c r="R42" i="8"/>
  <c r="R42" i="23" s="1"/>
  <c r="R94" i="23" s="1"/>
  <c r="R24" i="8"/>
  <c r="X36" i="13"/>
  <c r="Y36" i="13" s="1"/>
  <c r="Y38" i="9"/>
  <c r="AB38" i="9" s="1"/>
  <c r="AB38" i="7"/>
  <c r="Y29" i="9"/>
  <c r="AB29" i="9" s="1"/>
  <c r="Y17" i="9"/>
  <c r="AB17" i="9" s="1"/>
  <c r="Y34" i="9"/>
  <c r="AB34" i="9" s="1"/>
  <c r="Y16" i="9"/>
  <c r="AB16" i="9" s="1"/>
  <c r="AB22" i="7"/>
  <c r="O31" i="24"/>
  <c r="O73" i="24" s="1"/>
  <c r="Q31" i="12"/>
  <c r="AB48" i="9"/>
  <c r="P43" i="13"/>
  <c r="O39" i="24"/>
  <c r="O81" i="24" s="1"/>
  <c r="Q39" i="12"/>
  <c r="O25" i="24"/>
  <c r="O67" i="24" s="1"/>
  <c r="Q25" i="12"/>
  <c r="M7" i="8"/>
  <c r="M7" i="23" s="1"/>
  <c r="M59" i="23" s="1"/>
  <c r="AB25" i="7"/>
  <c r="AB18" i="9"/>
  <c r="O28" i="24"/>
  <c r="O70" i="24" s="1"/>
  <c r="Q28" i="12"/>
  <c r="AB17" i="11"/>
  <c r="X17" i="13" s="1"/>
  <c r="Y17" i="13" s="1"/>
  <c r="R11" i="24"/>
  <c r="R53" i="24" s="1"/>
  <c r="W11" i="12"/>
  <c r="R23" i="24"/>
  <c r="R65" i="24" s="1"/>
  <c r="AD44" i="8"/>
  <c r="AA44" i="23"/>
  <c r="AA96" i="23" s="1"/>
  <c r="AD26" i="8"/>
  <c r="AA26" i="23"/>
  <c r="AA78" i="23" s="1"/>
  <c r="AD39" i="8"/>
  <c r="AA39" i="23"/>
  <c r="AA91" i="23" s="1"/>
  <c r="AB7" i="9"/>
  <c r="Q13" i="13"/>
  <c r="O32" i="24"/>
  <c r="O74" i="24" s="1"/>
  <c r="Q32" i="12"/>
  <c r="AB5" i="11"/>
  <c r="Q43" i="11"/>
  <c r="R30" i="24"/>
  <c r="R72" i="24" s="1"/>
  <c r="W30" i="12"/>
  <c r="O33" i="24"/>
  <c r="O75" i="24" s="1"/>
  <c r="Q33" i="12"/>
  <c r="Y50" i="9"/>
  <c r="T43" i="13"/>
  <c r="W5" i="13"/>
  <c r="W43" i="13" s="1"/>
  <c r="AD10" i="8"/>
  <c r="AA10" i="23"/>
  <c r="AA62" i="23" s="1"/>
  <c r="X35" i="13"/>
  <c r="Q6" i="12"/>
  <c r="T13" i="23"/>
  <c r="T65" i="23" s="1"/>
  <c r="R38" i="24"/>
  <c r="R80" i="24" s="1"/>
  <c r="W38" i="12"/>
  <c r="O40" i="24"/>
  <c r="O82" i="24" s="1"/>
  <c r="Q40" i="12"/>
  <c r="O38" i="24"/>
  <c r="O80" i="24" s="1"/>
  <c r="Q38" i="12"/>
  <c r="AD5" i="23"/>
  <c r="AD57" i="23" s="1"/>
  <c r="AH53" i="8"/>
  <c r="AB50" i="9"/>
  <c r="O37" i="24"/>
  <c r="O79" i="24" s="1"/>
  <c r="Q37" i="12"/>
  <c r="O30" i="24"/>
  <c r="O72" i="24" s="1"/>
  <c r="Q30" i="12"/>
  <c r="R9" i="24"/>
  <c r="R51" i="24" s="1"/>
  <c r="AD24" i="8"/>
  <c r="AA24" i="23"/>
  <c r="AA76" i="23" s="1"/>
  <c r="Q5" i="23"/>
  <c r="Q57" i="23" s="1"/>
  <c r="Q53" i="8"/>
  <c r="C9" i="26"/>
  <c r="C7" i="26"/>
  <c r="C13" i="26" s="1"/>
  <c r="C11" i="26"/>
  <c r="O14" i="24"/>
  <c r="O56" i="24" s="1"/>
  <c r="Q14" i="12"/>
  <c r="AB26" i="7"/>
  <c r="Q36" i="13"/>
  <c r="Y35" i="9"/>
  <c r="Y39" i="9"/>
  <c r="AB39" i="9" s="1"/>
  <c r="Y5" i="9"/>
  <c r="Y53" i="7"/>
  <c r="Y58" i="7" s="1"/>
  <c r="Y51" i="8" s="1"/>
  <c r="X51" i="23" s="1"/>
  <c r="X103" i="23" s="1"/>
  <c r="Y49" i="9"/>
  <c r="Y44" i="9"/>
  <c r="AB44" i="9" s="1"/>
  <c r="Y18" i="9"/>
  <c r="AB18" i="7"/>
  <c r="R33" i="24"/>
  <c r="R75" i="24" s="1"/>
  <c r="W33" i="12"/>
  <c r="O5" i="23"/>
  <c r="O57" i="23" s="1"/>
  <c r="O53" i="8"/>
  <c r="AB23" i="9"/>
  <c r="AB6" i="11"/>
  <c r="O20" i="24"/>
  <c r="O62" i="24" s="1"/>
  <c r="Q20" i="12"/>
  <c r="R19" i="24"/>
  <c r="R61" i="24" s="1"/>
  <c r="W19" i="12"/>
  <c r="AB19" i="12" s="1"/>
  <c r="AB48" i="7"/>
  <c r="AB25" i="11"/>
  <c r="X25" i="12" s="1"/>
  <c r="AB35" i="9"/>
  <c r="AB39" i="7"/>
  <c r="AB28" i="11"/>
  <c r="Q7" i="13"/>
  <c r="R29" i="24"/>
  <c r="R71" i="24" s="1"/>
  <c r="AA18" i="23"/>
  <c r="AA70" i="23" s="1"/>
  <c r="AD18" i="8"/>
  <c r="AD20" i="8"/>
  <c r="AA20" i="23"/>
  <c r="AA72" i="23" s="1"/>
  <c r="AD28" i="8"/>
  <c r="AA28" i="23"/>
  <c r="AA80" i="23" s="1"/>
  <c r="AB7" i="7"/>
  <c r="AB53" i="7" s="1"/>
  <c r="AB13" i="11"/>
  <c r="X13" i="13" s="1"/>
  <c r="Y13" i="13" s="1"/>
  <c r="AB13" i="13" s="1"/>
  <c r="AB27" i="11"/>
  <c r="X27" i="13" s="1"/>
  <c r="Y27" i="13" s="1"/>
  <c r="T9" i="23"/>
  <c r="T61" i="23" s="1"/>
  <c r="Y47" i="9"/>
  <c r="AB47" i="9" s="1"/>
  <c r="T32" i="23"/>
  <c r="T84" i="23" s="1"/>
  <c r="AB11" i="7"/>
  <c r="O26" i="24"/>
  <c r="O68" i="24" s="1"/>
  <c r="Q26" i="12"/>
  <c r="X38" i="13"/>
  <c r="Y38" i="13" s="1"/>
  <c r="AB38" i="13" s="1"/>
  <c r="S31" i="28" s="1"/>
  <c r="M27" i="8"/>
  <c r="M27" i="23" s="1"/>
  <c r="M79" i="23" s="1"/>
  <c r="AD21" i="8"/>
  <c r="AA21" i="23"/>
  <c r="AA73" i="23" s="1"/>
  <c r="R25" i="24"/>
  <c r="R67" i="24" s="1"/>
  <c r="W25" i="12"/>
  <c r="AB50" i="7"/>
  <c r="X16" i="13"/>
  <c r="Y16" i="13" s="1"/>
  <c r="AB16" i="13" s="1"/>
  <c r="S10" i="28" s="1"/>
  <c r="L5" i="23"/>
  <c r="L57" i="23" s="1"/>
  <c r="L53" i="8"/>
  <c r="AB15" i="9"/>
  <c r="O5" i="24"/>
  <c r="O47" i="24" s="1"/>
  <c r="O43" i="12"/>
  <c r="Q5" i="12"/>
  <c r="Q14" i="13"/>
  <c r="M34" i="8"/>
  <c r="M34" i="23" s="1"/>
  <c r="M86" i="23" s="1"/>
  <c r="AB14" i="9"/>
  <c r="O29" i="24"/>
  <c r="O71" i="24" s="1"/>
  <c r="Q29" i="12"/>
  <c r="Y43" i="9"/>
  <c r="AB43" i="9" s="1"/>
  <c r="AB43" i="7"/>
  <c r="Y12" i="9"/>
  <c r="AB12" i="9" s="1"/>
  <c r="Y13" i="9"/>
  <c r="AB13" i="9" s="1"/>
  <c r="Y33" i="9"/>
  <c r="AB33" i="9" s="1"/>
  <c r="Y8" i="9"/>
  <c r="AB8" i="9" s="1"/>
  <c r="AB8" i="7"/>
  <c r="Y42" i="9"/>
  <c r="AB42" i="9" s="1"/>
  <c r="R6" i="24"/>
  <c r="R48" i="24" s="1"/>
  <c r="H11" i="26" s="1"/>
  <c r="W6" i="12"/>
  <c r="AB23" i="7"/>
  <c r="P38" i="24"/>
  <c r="P80" i="24" s="1"/>
  <c r="P5" i="24"/>
  <c r="P47" i="24" s="1"/>
  <c r="P43" i="12"/>
  <c r="M47" i="8"/>
  <c r="M47" i="23" s="1"/>
  <c r="M99" i="23" s="1"/>
  <c r="AB45" i="7"/>
  <c r="AB29" i="7"/>
  <c r="Q28" i="13"/>
  <c r="O7" i="24"/>
  <c r="O49" i="24" s="1"/>
  <c r="Q7" i="12"/>
  <c r="M53" i="9"/>
  <c r="AA35" i="23"/>
  <c r="AA87" i="23" s="1"/>
  <c r="AD35" i="8"/>
  <c r="AA38" i="23"/>
  <c r="AA90" i="23" s="1"/>
  <c r="AD38" i="8"/>
  <c r="AA11" i="23"/>
  <c r="AA63" i="23" s="1"/>
  <c r="AD11" i="8"/>
  <c r="AB51" i="9"/>
  <c r="O13" i="24"/>
  <c r="O55" i="24" s="1"/>
  <c r="Q13" i="12"/>
  <c r="Q27" i="13"/>
  <c r="S43" i="12"/>
  <c r="X11" i="12"/>
  <c r="Y11" i="12" s="1"/>
  <c r="AB11" i="12" s="1"/>
  <c r="I15" i="26"/>
  <c r="I14" i="26"/>
  <c r="U15" i="25"/>
  <c r="U14" i="25"/>
  <c r="X14" i="12"/>
  <c r="Y14" i="12" s="1"/>
  <c r="E47" i="5"/>
  <c r="Y30" i="13"/>
  <c r="Y11" i="13"/>
  <c r="AB11" i="13" s="1"/>
  <c r="S11" i="28" s="1"/>
  <c r="U11" i="24"/>
  <c r="U53" i="24" s="1"/>
  <c r="Y21" i="13"/>
  <c r="AB21" i="13" s="1"/>
  <c r="S13" i="28" s="1"/>
  <c r="Y31" i="13"/>
  <c r="AB31" i="13" s="1"/>
  <c r="Y19" i="13"/>
  <c r="AB19" i="13" s="1"/>
  <c r="U19" i="24"/>
  <c r="U61" i="24" s="1"/>
  <c r="Y41" i="13"/>
  <c r="AB41" i="13" s="1"/>
  <c r="S33" i="28" s="1"/>
  <c r="Y14" i="13"/>
  <c r="Y35" i="13"/>
  <c r="AB35" i="13" s="1"/>
  <c r="S27" i="28" s="1"/>
  <c r="Y10" i="13"/>
  <c r="AB10" i="13" s="1"/>
  <c r="S9" i="28" s="1"/>
  <c r="AG57" i="6"/>
  <c r="AG55" i="9"/>
  <c r="AG55" i="8"/>
  <c r="AG55" i="7"/>
  <c r="X34" i="12"/>
  <c r="Y34" i="12" s="1"/>
  <c r="AB34" i="12" s="1"/>
  <c r="X21" i="12"/>
  <c r="Y21" i="12" s="1"/>
  <c r="X37" i="12"/>
  <c r="Y37" i="12" s="1"/>
  <c r="AB37" i="12" s="1"/>
  <c r="X18" i="12"/>
  <c r="Y18" i="12" s="1"/>
  <c r="AB18" i="12" s="1"/>
  <c r="AM57" i="6"/>
  <c r="AM55" i="9"/>
  <c r="AM55" i="8"/>
  <c r="AM55" i="7"/>
  <c r="X10" i="12"/>
  <c r="Y10" i="12" s="1"/>
  <c r="AB10" i="12" s="1"/>
  <c r="X26" i="12"/>
  <c r="Y26" i="12" s="1"/>
  <c r="AB26" i="12" s="1"/>
  <c r="X39" i="12"/>
  <c r="X23" i="12"/>
  <c r="X38" i="12"/>
  <c r="X13" i="12"/>
  <c r="X22" i="12"/>
  <c r="X28" i="12"/>
  <c r="X7" i="12"/>
  <c r="X24" i="12"/>
  <c r="X15" i="12"/>
  <c r="X27" i="12"/>
  <c r="X12" i="12"/>
  <c r="X17" i="12"/>
  <c r="X16" i="12"/>
  <c r="X33" i="12"/>
  <c r="X40" i="12"/>
  <c r="X36" i="12"/>
  <c r="X29" i="12"/>
  <c r="Y29" i="12" s="1"/>
  <c r="AB29" i="12" s="1"/>
  <c r="X9" i="12"/>
  <c r="Y9" i="12" s="1"/>
  <c r="AB9" i="12" s="1"/>
  <c r="X30" i="12"/>
  <c r="Y30" i="12" s="1"/>
  <c r="X41" i="12"/>
  <c r="Y41" i="12" s="1"/>
  <c r="AB41" i="12" s="1"/>
  <c r="X35" i="12"/>
  <c r="Y35" i="12" s="1"/>
  <c r="AB35" i="12" s="1"/>
  <c r="E46" i="5"/>
  <c r="Y45" i="13"/>
  <c r="Y45" i="12"/>
  <c r="Y45" i="11"/>
  <c r="Y45" i="10"/>
  <c r="X8" i="12"/>
  <c r="Y8" i="12" s="1"/>
  <c r="AB8" i="12" s="1"/>
  <c r="X5" i="12"/>
  <c r="S21" i="28" l="1"/>
  <c r="S16" i="28"/>
  <c r="S26" i="28"/>
  <c r="AA72" i="16"/>
  <c r="Y42" i="8"/>
  <c r="X42" i="23" s="1"/>
  <c r="X94" i="23" s="1"/>
  <c r="Y38" i="8"/>
  <c r="X38" i="23" s="1"/>
  <c r="X90" i="23" s="1"/>
  <c r="X15" i="13"/>
  <c r="Y15" i="13" s="1"/>
  <c r="AB15" i="13" s="1"/>
  <c r="S8" i="28" s="1"/>
  <c r="U19" i="23"/>
  <c r="U71" i="23" s="1"/>
  <c r="U46" i="23"/>
  <c r="U98" i="23" s="1"/>
  <c r="AB46" i="8"/>
  <c r="Y12" i="8"/>
  <c r="X12" i="23" s="1"/>
  <c r="X64" i="23" s="1"/>
  <c r="X28" i="13"/>
  <c r="Y28" i="13" s="1"/>
  <c r="AB28" i="13" s="1"/>
  <c r="S22" i="28" s="1"/>
  <c r="Y18" i="8"/>
  <c r="X18" i="23" s="1"/>
  <c r="X70" i="23" s="1"/>
  <c r="Y53" i="9"/>
  <c r="Y37" i="8"/>
  <c r="X37" i="23" s="1"/>
  <c r="X89" i="23" s="1"/>
  <c r="X37" i="13"/>
  <c r="Y37" i="13" s="1"/>
  <c r="AB37" i="13" s="1"/>
  <c r="S29" i="28" s="1"/>
  <c r="U21" i="23"/>
  <c r="U73" i="23" s="1"/>
  <c r="U35" i="23"/>
  <c r="U87" i="23" s="1"/>
  <c r="U26" i="23"/>
  <c r="U78" i="23" s="1"/>
  <c r="Y20" i="8"/>
  <c r="X20" i="23" s="1"/>
  <c r="X72" i="23" s="1"/>
  <c r="Y45" i="8"/>
  <c r="X45" i="23" s="1"/>
  <c r="X97" i="23" s="1"/>
  <c r="Y48" i="8"/>
  <c r="Y14" i="8"/>
  <c r="Y7" i="8"/>
  <c r="X7" i="23" s="1"/>
  <c r="X59" i="23" s="1"/>
  <c r="Q43" i="13"/>
  <c r="Y16" i="8"/>
  <c r="X16" i="23" s="1"/>
  <c r="X68" i="23" s="1"/>
  <c r="X32" i="13"/>
  <c r="Y32" i="13" s="1"/>
  <c r="AB32" i="13" s="1"/>
  <c r="Y30" i="8"/>
  <c r="X30" i="23" s="1"/>
  <c r="X82" i="23" s="1"/>
  <c r="AB30" i="12"/>
  <c r="F7" i="26"/>
  <c r="F13" i="26" s="1"/>
  <c r="F9" i="26"/>
  <c r="F11" i="26"/>
  <c r="Y47" i="8"/>
  <c r="X47" i="23" s="1"/>
  <c r="X99" i="23" s="1"/>
  <c r="X6" i="12"/>
  <c r="X6" i="13"/>
  <c r="Y6" i="13" s="1"/>
  <c r="AB6" i="13" s="1"/>
  <c r="Y39" i="8"/>
  <c r="X39" i="23" s="1"/>
  <c r="X91" i="23" s="1"/>
  <c r="T9" i="25"/>
  <c r="T11" i="25"/>
  <c r="T7" i="25"/>
  <c r="T13" i="25" s="1"/>
  <c r="Y34" i="8"/>
  <c r="R5" i="23"/>
  <c r="R57" i="23" s="1"/>
  <c r="H9" i="25" s="1"/>
  <c r="R53" i="8"/>
  <c r="S58" i="8" s="1"/>
  <c r="U15" i="23"/>
  <c r="U67" i="23" s="1"/>
  <c r="U36" i="23"/>
  <c r="U88" i="23" s="1"/>
  <c r="U43" i="23"/>
  <c r="U95" i="23" s="1"/>
  <c r="Y28" i="8"/>
  <c r="Y19" i="8"/>
  <c r="X19" i="23" s="1"/>
  <c r="X71" i="23" s="1"/>
  <c r="X20" i="13"/>
  <c r="Y20" i="13" s="1"/>
  <c r="AB20" i="13" s="1"/>
  <c r="S12" i="28" s="1"/>
  <c r="U22" i="23"/>
  <c r="U74" i="23" s="1"/>
  <c r="AB22" i="8"/>
  <c r="U45" i="23"/>
  <c r="U97" i="23" s="1"/>
  <c r="Y40" i="8"/>
  <c r="X40" i="23" s="1"/>
  <c r="X92" i="23" s="1"/>
  <c r="AA65" i="16"/>
  <c r="Y8" i="8"/>
  <c r="X8" i="23" s="1"/>
  <c r="X60" i="23" s="1"/>
  <c r="Y43" i="8"/>
  <c r="X43" i="23" s="1"/>
  <c r="X95" i="23" s="1"/>
  <c r="Q43" i="12"/>
  <c r="Y44" i="8"/>
  <c r="AB43" i="11"/>
  <c r="X5" i="13"/>
  <c r="AB36" i="13"/>
  <c r="S28" i="28" s="1"/>
  <c r="AB5" i="9"/>
  <c r="AB53" i="9" s="1"/>
  <c r="Y9" i="8"/>
  <c r="AB17" i="13"/>
  <c r="U25" i="23"/>
  <c r="U77" i="23" s="1"/>
  <c r="U37" i="23"/>
  <c r="U89" i="23" s="1"/>
  <c r="AB37" i="8"/>
  <c r="Y23" i="8"/>
  <c r="X23" i="23" s="1"/>
  <c r="X75" i="23" s="1"/>
  <c r="Y10" i="8"/>
  <c r="X10" i="23" s="1"/>
  <c r="X62" i="23" s="1"/>
  <c r="Y41" i="8"/>
  <c r="X41" i="23" s="1"/>
  <c r="X93" i="23" s="1"/>
  <c r="X31" i="12"/>
  <c r="X25" i="13"/>
  <c r="Y25" i="13" s="1"/>
  <c r="AB25" i="13" s="1"/>
  <c r="S18" i="28" s="1"/>
  <c r="Q7" i="25"/>
  <c r="Q13" i="25" s="1"/>
  <c r="U5" i="23"/>
  <c r="U57" i="23" s="1"/>
  <c r="V53" i="8"/>
  <c r="U42" i="23"/>
  <c r="U94" i="23" s="1"/>
  <c r="AB42" i="8"/>
  <c r="U41" i="23"/>
  <c r="U93" i="23" s="1"/>
  <c r="U6" i="23"/>
  <c r="U58" i="23" s="1"/>
  <c r="AB6" i="8"/>
  <c r="U33" i="23"/>
  <c r="U85" i="23" s="1"/>
  <c r="Y15" i="8"/>
  <c r="X15" i="23" s="1"/>
  <c r="X67" i="23" s="1"/>
  <c r="M9" i="25"/>
  <c r="M11" i="25"/>
  <c r="M7" i="25"/>
  <c r="M13" i="25" s="1"/>
  <c r="AD53" i="8"/>
  <c r="Y35" i="8"/>
  <c r="X35" i="23" s="1"/>
  <c r="X87" i="23" s="1"/>
  <c r="Y50" i="8"/>
  <c r="Y17" i="8"/>
  <c r="L9" i="25"/>
  <c r="L11" i="25"/>
  <c r="L7" i="25"/>
  <c r="L13" i="25" s="1"/>
  <c r="X32" i="12"/>
  <c r="Y32" i="12" s="1"/>
  <c r="AB32" i="12" s="1"/>
  <c r="AB14" i="13"/>
  <c r="AA125" i="16" s="1"/>
  <c r="AG125" i="16" s="1"/>
  <c r="Y33" i="8"/>
  <c r="X33" i="23" s="1"/>
  <c r="X85" i="23" s="1"/>
  <c r="E9" i="26"/>
  <c r="E11" i="26"/>
  <c r="E7" i="26"/>
  <c r="E13" i="26" s="1"/>
  <c r="E9" i="25"/>
  <c r="E11" i="25"/>
  <c r="E7" i="25"/>
  <c r="E13" i="25" s="1"/>
  <c r="Y49" i="8"/>
  <c r="X49" i="23" s="1"/>
  <c r="X101" i="23" s="1"/>
  <c r="J9" i="25"/>
  <c r="J7" i="25"/>
  <c r="J13" i="25" s="1"/>
  <c r="J11" i="25"/>
  <c r="Y25" i="8"/>
  <c r="X25" i="23" s="1"/>
  <c r="X77" i="23" s="1"/>
  <c r="Y32" i="8"/>
  <c r="X32" i="23" s="1"/>
  <c r="X84" i="23" s="1"/>
  <c r="X40" i="13"/>
  <c r="Y40" i="13" s="1"/>
  <c r="AB40" i="13" s="1"/>
  <c r="S32" i="28" s="1"/>
  <c r="Y11" i="8"/>
  <c r="U39" i="23"/>
  <c r="U91" i="23" s="1"/>
  <c r="AB39" i="8"/>
  <c r="AB47" i="8"/>
  <c r="U47" i="23"/>
  <c r="U99" i="23" s="1"/>
  <c r="U7" i="23"/>
  <c r="U59" i="23" s="1"/>
  <c r="AB7" i="8"/>
  <c r="X39" i="13"/>
  <c r="Y39" i="13" s="1"/>
  <c r="AB39" i="13" s="1"/>
  <c r="S30" i="28" s="1"/>
  <c r="X9" i="13"/>
  <c r="Y9" i="13" s="1"/>
  <c r="AB9" i="13" s="1"/>
  <c r="S7" i="28" s="1"/>
  <c r="Y6" i="8"/>
  <c r="X6" i="23" s="1"/>
  <c r="X58" i="23" s="1"/>
  <c r="AB40" i="8"/>
  <c r="Y36" i="8"/>
  <c r="X36" i="23" s="1"/>
  <c r="X88" i="23" s="1"/>
  <c r="AB23" i="8"/>
  <c r="H7" i="26"/>
  <c r="H13" i="26" s="1"/>
  <c r="C15" i="26"/>
  <c r="C14" i="26"/>
  <c r="U5" i="24"/>
  <c r="U47" i="24" s="1"/>
  <c r="AB21" i="12"/>
  <c r="AB8" i="13"/>
  <c r="S6" i="28" s="1"/>
  <c r="AB30" i="13"/>
  <c r="S24" i="28" s="1"/>
  <c r="AB14" i="12"/>
  <c r="AB27" i="13"/>
  <c r="Y29" i="8"/>
  <c r="W43" i="12"/>
  <c r="U10" i="23"/>
  <c r="U62" i="23" s="1"/>
  <c r="AB10" i="8"/>
  <c r="AB8" i="8"/>
  <c r="U8" i="23"/>
  <c r="U60" i="23" s="1"/>
  <c r="K7" i="25" s="1"/>
  <c r="K13" i="25" s="1"/>
  <c r="U18" i="23"/>
  <c r="U70" i="23" s="1"/>
  <c r="AB18" i="8"/>
  <c r="Y26" i="8"/>
  <c r="X26" i="23" s="1"/>
  <c r="X78" i="23" s="1"/>
  <c r="Y46" i="8"/>
  <c r="X46" i="23" s="1"/>
  <c r="X98" i="23" s="1"/>
  <c r="AB24" i="13"/>
  <c r="S17" i="28" s="1"/>
  <c r="F9" i="25"/>
  <c r="F7" i="25"/>
  <c r="F13" i="25" s="1"/>
  <c r="F11" i="25"/>
  <c r="G15" i="26"/>
  <c r="G14" i="26"/>
  <c r="Q9" i="25"/>
  <c r="Q11" i="25"/>
  <c r="H9" i="26"/>
  <c r="B9" i="25"/>
  <c r="B7" i="25"/>
  <c r="B13" i="25" s="1"/>
  <c r="B11" i="25"/>
  <c r="X20" i="12"/>
  <c r="AB18" i="13"/>
  <c r="Y13" i="8"/>
  <c r="Y5" i="8"/>
  <c r="G11" i="25"/>
  <c r="G9" i="25"/>
  <c r="G7" i="25"/>
  <c r="G13" i="25" s="1"/>
  <c r="Y22" i="8"/>
  <c r="X22" i="23" s="1"/>
  <c r="X74" i="23" s="1"/>
  <c r="Y21" i="8"/>
  <c r="X21" i="23" s="1"/>
  <c r="X73" i="23" s="1"/>
  <c r="S53" i="8"/>
  <c r="U16" i="23"/>
  <c r="U68" i="23" s="1"/>
  <c r="AB16" i="8"/>
  <c r="U30" i="23"/>
  <c r="U82" i="23" s="1"/>
  <c r="AB30" i="8"/>
  <c r="U38" i="23"/>
  <c r="U90" i="23" s="1"/>
  <c r="AB38" i="8"/>
  <c r="U12" i="23"/>
  <c r="U64" i="23" s="1"/>
  <c r="AB12" i="8"/>
  <c r="Y31" i="8"/>
  <c r="AB49" i="8"/>
  <c r="Y24" i="8"/>
  <c r="X24" i="23" s="1"/>
  <c r="X76" i="23" s="1"/>
  <c r="Y27" i="8"/>
  <c r="AB51" i="8"/>
  <c r="M5" i="23"/>
  <c r="M57" i="23" s="1"/>
  <c r="M53" i="8"/>
  <c r="AB7" i="13"/>
  <c r="S5" i="28" s="1"/>
  <c r="AA88" i="16"/>
  <c r="AG88" i="16" s="1"/>
  <c r="AA11" i="17"/>
  <c r="AA90" i="16"/>
  <c r="AG90" i="16" s="1"/>
  <c r="AA4" i="17"/>
  <c r="AA83" i="16"/>
  <c r="AG83" i="16" s="1"/>
  <c r="AA8" i="17"/>
  <c r="AA12" i="17"/>
  <c r="AA86" i="16"/>
  <c r="AG86" i="16" s="1"/>
  <c r="AA89" i="16"/>
  <c r="AG89" i="16" s="1"/>
  <c r="AA10" i="17"/>
  <c r="AA85" i="16"/>
  <c r="AG85" i="16" s="1"/>
  <c r="AA87" i="16"/>
  <c r="AG87" i="16" s="1"/>
  <c r="AA3" i="17"/>
  <c r="AA80" i="16"/>
  <c r="AG80" i="16" s="1"/>
  <c r="AA7" i="17"/>
  <c r="AA77" i="16"/>
  <c r="L77" i="21" s="1"/>
  <c r="O77" i="21" s="1"/>
  <c r="AA42" i="17"/>
  <c r="AA74" i="16"/>
  <c r="AG74" i="16" s="1"/>
  <c r="AA78" i="16"/>
  <c r="L78" i="21" s="1"/>
  <c r="O78" i="21" s="1"/>
  <c r="AA79" i="16"/>
  <c r="AG79" i="16" s="1"/>
  <c r="AA68" i="16"/>
  <c r="AG68" i="16" s="1"/>
  <c r="AA2" i="17"/>
  <c r="Y17" i="12"/>
  <c r="AB17" i="12" s="1"/>
  <c r="U17" i="24"/>
  <c r="U59" i="24" s="1"/>
  <c r="Y28" i="12"/>
  <c r="AB28" i="12" s="1"/>
  <c r="U28" i="24"/>
  <c r="U70" i="24" s="1"/>
  <c r="AA64" i="16"/>
  <c r="AG64" i="16" s="1"/>
  <c r="AA76" i="16"/>
  <c r="AG76" i="16" s="1"/>
  <c r="AA119" i="16"/>
  <c r="AG119" i="16" s="1"/>
  <c r="AA82" i="16"/>
  <c r="AG82" i="16" s="1"/>
  <c r="AA5" i="17"/>
  <c r="U10" i="24"/>
  <c r="U52" i="24" s="1"/>
  <c r="U14" i="24"/>
  <c r="U56" i="24" s="1"/>
  <c r="U21" i="24"/>
  <c r="U63" i="24" s="1"/>
  <c r="Y25" i="12"/>
  <c r="AB25" i="12" s="1"/>
  <c r="Y22" i="12"/>
  <c r="AB22" i="12" s="1"/>
  <c r="U22" i="24"/>
  <c r="U64" i="24" s="1"/>
  <c r="Y12" i="12"/>
  <c r="AB12" i="12" s="1"/>
  <c r="U12" i="24"/>
  <c r="U54" i="24" s="1"/>
  <c r="Y13" i="12"/>
  <c r="AB13" i="12" s="1"/>
  <c r="U13" i="24"/>
  <c r="U55" i="24" s="1"/>
  <c r="AA66" i="16"/>
  <c r="AG66" i="16" s="1"/>
  <c r="AA69" i="16"/>
  <c r="AG69" i="16" s="1"/>
  <c r="U32" i="24"/>
  <c r="U74" i="24" s="1"/>
  <c r="U26" i="24"/>
  <c r="U68" i="24" s="1"/>
  <c r="U30" i="24"/>
  <c r="U72" i="24" s="1"/>
  <c r="Y38" i="12"/>
  <c r="AB38" i="12" s="1"/>
  <c r="U38" i="24"/>
  <c r="U80" i="24" s="1"/>
  <c r="Y27" i="12"/>
  <c r="AB27" i="12" s="1"/>
  <c r="U27" i="24"/>
  <c r="U69" i="24" s="1"/>
  <c r="Y36" i="12"/>
  <c r="AB36" i="12" s="1"/>
  <c r="U36" i="24"/>
  <c r="U78" i="24" s="1"/>
  <c r="Y15" i="12"/>
  <c r="AB15" i="12" s="1"/>
  <c r="U15" i="24"/>
  <c r="U57" i="24" s="1"/>
  <c r="Y23" i="12"/>
  <c r="AB23" i="12" s="1"/>
  <c r="U23" i="24"/>
  <c r="U65" i="24" s="1"/>
  <c r="AA73" i="16"/>
  <c r="AG73" i="16" s="1"/>
  <c r="AA62" i="16"/>
  <c r="L148" i="21" s="1"/>
  <c r="AA123" i="16"/>
  <c r="AG123" i="16" s="1"/>
  <c r="AA43" i="17"/>
  <c r="AA81" i="16"/>
  <c r="AG81" i="16" s="1"/>
  <c r="AA84" i="16"/>
  <c r="AG84" i="16" s="1"/>
  <c r="AA6" i="17"/>
  <c r="U18" i="24"/>
  <c r="U60" i="24" s="1"/>
  <c r="U34" i="24"/>
  <c r="U76" i="24" s="1"/>
  <c r="Y40" i="12"/>
  <c r="AB40" i="12" s="1"/>
  <c r="U40" i="24"/>
  <c r="U82" i="24" s="1"/>
  <c r="Y24" i="12"/>
  <c r="AB24" i="12" s="1"/>
  <c r="U24" i="24"/>
  <c r="U66" i="24" s="1"/>
  <c r="Y39" i="12"/>
  <c r="AB39" i="12" s="1"/>
  <c r="U39" i="24"/>
  <c r="U81" i="24" s="1"/>
  <c r="AA63" i="16"/>
  <c r="L63" i="21" s="1"/>
  <c r="O63" i="21" s="1"/>
  <c r="AA67" i="16"/>
  <c r="AG67" i="16" s="1"/>
  <c r="AA70" i="16"/>
  <c r="AG70" i="16" s="1"/>
  <c r="Y33" i="12"/>
  <c r="AB33" i="12" s="1"/>
  <c r="U33" i="24"/>
  <c r="U75" i="24" s="1"/>
  <c r="Y7" i="12"/>
  <c r="AB7" i="12" s="1"/>
  <c r="U7" i="24"/>
  <c r="U49" i="24" s="1"/>
  <c r="AA71" i="16"/>
  <c r="AG71" i="16" s="1"/>
  <c r="AA75" i="16"/>
  <c r="AG75" i="16" s="1"/>
  <c r="AA124" i="16"/>
  <c r="AG124" i="16" s="1"/>
  <c r="U35" i="24"/>
  <c r="U77" i="24" s="1"/>
  <c r="U41" i="24"/>
  <c r="U83" i="24" s="1"/>
  <c r="U8" i="24"/>
  <c r="U50" i="24" s="1"/>
  <c r="U29" i="24"/>
  <c r="U71" i="24" s="1"/>
  <c r="Y16" i="12"/>
  <c r="AB16" i="12" s="1"/>
  <c r="U16" i="24"/>
  <c r="U58" i="24" s="1"/>
  <c r="Y20" i="12"/>
  <c r="AB20" i="12" s="1"/>
  <c r="AA91" i="16"/>
  <c r="AG91" i="16" s="1"/>
  <c r="AA9" i="17"/>
  <c r="AA14" i="17"/>
  <c r="AA13" i="17"/>
  <c r="AG65" i="16"/>
  <c r="L65" i="21"/>
  <c r="O65" i="21" s="1"/>
  <c r="AG72" i="16"/>
  <c r="L72" i="21"/>
  <c r="O72" i="21" s="1"/>
  <c r="L69" i="21"/>
  <c r="O69" i="21" s="1"/>
  <c r="AG78" i="16"/>
  <c r="L74" i="21"/>
  <c r="O74" i="21" s="1"/>
  <c r="L154" i="21"/>
  <c r="L164" i="21"/>
  <c r="L162" i="21"/>
  <c r="L152" i="21"/>
  <c r="L134" i="21"/>
  <c r="AB45" i="12"/>
  <c r="AB45" i="13"/>
  <c r="AB45" i="10"/>
  <c r="AB45" i="11"/>
  <c r="Y5" i="12"/>
  <c r="L144" i="21" l="1"/>
  <c r="L129" i="21"/>
  <c r="L138" i="21"/>
  <c r="U37" i="24"/>
  <c r="U79" i="24" s="1"/>
  <c r="U20" i="24"/>
  <c r="U62" i="24" s="1"/>
  <c r="G11" i="28"/>
  <c r="G6" i="28"/>
  <c r="S15" i="28"/>
  <c r="S25" i="28"/>
  <c r="S20" i="28"/>
  <c r="L159" i="21"/>
  <c r="AG63" i="16"/>
  <c r="L66" i="21"/>
  <c r="O66" i="21" s="1"/>
  <c r="L67" i="21"/>
  <c r="O67" i="21" s="1"/>
  <c r="L137" i="21"/>
  <c r="L157" i="21"/>
  <c r="L73" i="21"/>
  <c r="O73" i="21" s="1"/>
  <c r="L130" i="21"/>
  <c r="U9" i="24"/>
  <c r="U51" i="24" s="1"/>
  <c r="L158" i="21"/>
  <c r="L131" i="21"/>
  <c r="L153" i="21"/>
  <c r="U25" i="24"/>
  <c r="U67" i="24" s="1"/>
  <c r="H14" i="25"/>
  <c r="H15" i="25"/>
  <c r="G15" i="25"/>
  <c r="G14" i="25"/>
  <c r="L14" i="25"/>
  <c r="L15" i="25"/>
  <c r="X9" i="23"/>
  <c r="X61" i="23" s="1"/>
  <c r="N11" i="25" s="1"/>
  <c r="AB9" i="8"/>
  <c r="AB36" i="8"/>
  <c r="T15" i="25"/>
  <c r="T14" i="25"/>
  <c r="F15" i="26"/>
  <c r="F14" i="26"/>
  <c r="AB26" i="8"/>
  <c r="X27" i="23"/>
  <c r="X79" i="23" s="1"/>
  <c r="AB27" i="8"/>
  <c r="M14" i="25"/>
  <c r="M15" i="25"/>
  <c r="Y31" i="12"/>
  <c r="AB31" i="12" s="1"/>
  <c r="U31" i="24"/>
  <c r="U73" i="24" s="1"/>
  <c r="X44" i="23"/>
  <c r="X96" i="23" s="1"/>
  <c r="AB44" i="8"/>
  <c r="B14" i="25"/>
  <c r="B15" i="25"/>
  <c r="F14" i="25"/>
  <c r="F15" i="25"/>
  <c r="X17" i="23"/>
  <c r="X69" i="23" s="1"/>
  <c r="AB17" i="8"/>
  <c r="AB33" i="8"/>
  <c r="AB15" i="8"/>
  <c r="AB20" i="8"/>
  <c r="X31" i="23"/>
  <c r="X83" i="23" s="1"/>
  <c r="AB31" i="8"/>
  <c r="X5" i="23"/>
  <c r="X57" i="23" s="1"/>
  <c r="Y53" i="8"/>
  <c r="H15" i="26"/>
  <c r="H14" i="26"/>
  <c r="E15" i="26"/>
  <c r="E14" i="26"/>
  <c r="X50" i="23"/>
  <c r="X102" i="23" s="1"/>
  <c r="AB50" i="8"/>
  <c r="AB5" i="8"/>
  <c r="AB35" i="8"/>
  <c r="AB19" i="8"/>
  <c r="AB32" i="8"/>
  <c r="J14" i="25"/>
  <c r="J15" i="25"/>
  <c r="K9" i="25"/>
  <c r="K11" i="25"/>
  <c r="S9" i="9"/>
  <c r="S9" i="23" s="1"/>
  <c r="S61" i="23" s="1"/>
  <c r="S6" i="9"/>
  <c r="S6" i="23" s="1"/>
  <c r="S58" i="23" s="1"/>
  <c r="S45" i="9"/>
  <c r="S45" i="23" s="1"/>
  <c r="S97" i="23" s="1"/>
  <c r="S15" i="9"/>
  <c r="S15" i="23" s="1"/>
  <c r="S67" i="23" s="1"/>
  <c r="S7" i="9"/>
  <c r="S7" i="23" s="1"/>
  <c r="S59" i="23" s="1"/>
  <c r="S27" i="9"/>
  <c r="S27" i="23" s="1"/>
  <c r="S79" i="23" s="1"/>
  <c r="S21" i="9"/>
  <c r="S21" i="23" s="1"/>
  <c r="S73" i="23" s="1"/>
  <c r="S51" i="9"/>
  <c r="S51" i="23" s="1"/>
  <c r="S103" i="23" s="1"/>
  <c r="S19" i="9"/>
  <c r="S19" i="23" s="1"/>
  <c r="S71" i="23" s="1"/>
  <c r="S12" i="9"/>
  <c r="S12" i="23" s="1"/>
  <c r="S64" i="23" s="1"/>
  <c r="S49" i="9"/>
  <c r="S49" i="23" s="1"/>
  <c r="S101" i="23" s="1"/>
  <c r="S5" i="9"/>
  <c r="S18" i="9"/>
  <c r="S18" i="23" s="1"/>
  <c r="S70" i="23" s="1"/>
  <c r="S23" i="9"/>
  <c r="S23" i="23" s="1"/>
  <c r="S75" i="23" s="1"/>
  <c r="S46" i="9"/>
  <c r="S46" i="23" s="1"/>
  <c r="S98" i="23" s="1"/>
  <c r="S13" i="9"/>
  <c r="S13" i="23" s="1"/>
  <c r="S65" i="23" s="1"/>
  <c r="S35" i="9"/>
  <c r="S35" i="23" s="1"/>
  <c r="S87" i="23" s="1"/>
  <c r="S42" i="9"/>
  <c r="S42" i="23" s="1"/>
  <c r="S94" i="23" s="1"/>
  <c r="S17" i="9"/>
  <c r="S17" i="23" s="1"/>
  <c r="S69" i="23" s="1"/>
  <c r="S30" i="9"/>
  <c r="S30" i="23" s="1"/>
  <c r="S82" i="23" s="1"/>
  <c r="S25" i="9"/>
  <c r="S25" i="23" s="1"/>
  <c r="S77" i="23" s="1"/>
  <c r="S28" i="9"/>
  <c r="S28" i="23" s="1"/>
  <c r="S80" i="23" s="1"/>
  <c r="S31" i="9"/>
  <c r="S31" i="23" s="1"/>
  <c r="S83" i="23" s="1"/>
  <c r="S10" i="9"/>
  <c r="S10" i="23" s="1"/>
  <c r="S62" i="23" s="1"/>
  <c r="S24" i="9"/>
  <c r="S24" i="23" s="1"/>
  <c r="S76" i="23" s="1"/>
  <c r="S48" i="9"/>
  <c r="S48" i="23" s="1"/>
  <c r="S100" i="23" s="1"/>
  <c r="S26" i="9"/>
  <c r="S26" i="23" s="1"/>
  <c r="S78" i="23" s="1"/>
  <c r="S20" i="9"/>
  <c r="S20" i="23" s="1"/>
  <c r="S72" i="23" s="1"/>
  <c r="S16" i="9"/>
  <c r="S16" i="23" s="1"/>
  <c r="S68" i="23" s="1"/>
  <c r="S33" i="9"/>
  <c r="S33" i="23" s="1"/>
  <c r="S85" i="23" s="1"/>
  <c r="S38" i="9"/>
  <c r="S38" i="23" s="1"/>
  <c r="S90" i="23" s="1"/>
  <c r="S36" i="9"/>
  <c r="S36" i="23" s="1"/>
  <c r="S88" i="23" s="1"/>
  <c r="S43" i="9"/>
  <c r="S43" i="23" s="1"/>
  <c r="S95" i="23" s="1"/>
  <c r="S39" i="9"/>
  <c r="S39" i="23" s="1"/>
  <c r="S91" i="23" s="1"/>
  <c r="S14" i="9"/>
  <c r="S14" i="23" s="1"/>
  <c r="S66" i="23" s="1"/>
  <c r="S44" i="9"/>
  <c r="S44" i="23" s="1"/>
  <c r="S96" i="23" s="1"/>
  <c r="S8" i="9"/>
  <c r="S8" i="23" s="1"/>
  <c r="S60" i="23" s="1"/>
  <c r="S32" i="9"/>
  <c r="S32" i="23" s="1"/>
  <c r="S84" i="23" s="1"/>
  <c r="S47" i="9"/>
  <c r="S47" i="23" s="1"/>
  <c r="S99" i="23" s="1"/>
  <c r="S50" i="9"/>
  <c r="S50" i="23" s="1"/>
  <c r="S102" i="23" s="1"/>
  <c r="S41" i="9"/>
  <c r="S41" i="23" s="1"/>
  <c r="S93" i="23" s="1"/>
  <c r="S11" i="9"/>
  <c r="S11" i="23" s="1"/>
  <c r="S63" i="23" s="1"/>
  <c r="S22" i="9"/>
  <c r="S22" i="23" s="1"/>
  <c r="S74" i="23" s="1"/>
  <c r="S29" i="9"/>
  <c r="S29" i="23" s="1"/>
  <c r="S81" i="23" s="1"/>
  <c r="S40" i="9"/>
  <c r="S40" i="23" s="1"/>
  <c r="S92" i="23" s="1"/>
  <c r="S37" i="9"/>
  <c r="S37" i="23" s="1"/>
  <c r="S89" i="23" s="1"/>
  <c r="S34" i="9"/>
  <c r="S34" i="23" s="1"/>
  <c r="S86" i="23" s="1"/>
  <c r="Y6" i="12"/>
  <c r="AB6" i="12" s="1"/>
  <c r="U6" i="24"/>
  <c r="U48" i="24" s="1"/>
  <c r="K9" i="26" s="1"/>
  <c r="X13" i="23"/>
  <c r="X65" i="23" s="1"/>
  <c r="AB13" i="8"/>
  <c r="Q15" i="25"/>
  <c r="Q14" i="25"/>
  <c r="X29" i="23"/>
  <c r="X81" i="23" s="1"/>
  <c r="AB29" i="8"/>
  <c r="X11" i="23"/>
  <c r="X63" i="23" s="1"/>
  <c r="AB11" i="8"/>
  <c r="AA47" i="17"/>
  <c r="Y5" i="13"/>
  <c r="X43" i="13"/>
  <c r="X28" i="23"/>
  <c r="X80" i="23" s="1"/>
  <c r="AB28" i="8"/>
  <c r="H11" i="25"/>
  <c r="H7" i="25"/>
  <c r="H13" i="25" s="1"/>
  <c r="X14" i="23"/>
  <c r="X66" i="23" s="1"/>
  <c r="AB14" i="8"/>
  <c r="AB21" i="8"/>
  <c r="X43" i="12"/>
  <c r="C11" i="25"/>
  <c r="C7" i="25"/>
  <c r="C13" i="25" s="1"/>
  <c r="C9" i="25"/>
  <c r="AB41" i="8"/>
  <c r="AB25" i="8"/>
  <c r="AB45" i="8"/>
  <c r="AB43" i="8"/>
  <c r="X34" i="23"/>
  <c r="X86" i="23" s="1"/>
  <c r="AB34" i="8"/>
  <c r="X48" i="23"/>
  <c r="X100" i="23" s="1"/>
  <c r="AB48" i="8"/>
  <c r="N7" i="25"/>
  <c r="N13" i="25" s="1"/>
  <c r="E15" i="25"/>
  <c r="E14" i="25"/>
  <c r="AB24" i="8"/>
  <c r="AA40" i="17"/>
  <c r="AA122" i="16"/>
  <c r="AG122" i="16" s="1"/>
  <c r="AA45" i="17"/>
  <c r="AA120" i="16"/>
  <c r="AG120" i="16" s="1"/>
  <c r="AA41" i="17"/>
  <c r="AA121" i="16"/>
  <c r="AG121" i="16" s="1"/>
  <c r="AA39" i="17"/>
  <c r="AA118" i="16"/>
  <c r="AG118" i="16" s="1"/>
  <c r="AA48" i="17"/>
  <c r="AA117" i="16"/>
  <c r="AG117" i="16" s="1"/>
  <c r="AA116" i="16"/>
  <c r="AA44" i="17"/>
  <c r="AA46" i="17"/>
  <c r="AG77" i="16"/>
  <c r="L70" i="21"/>
  <c r="O70" i="21" s="1"/>
  <c r="L141" i="21"/>
  <c r="L71" i="21"/>
  <c r="O71" i="21" s="1"/>
  <c r="L64" i="21"/>
  <c r="O64" i="21" s="1"/>
  <c r="L128" i="21"/>
  <c r="L127" i="21"/>
  <c r="L62" i="21"/>
  <c r="O62" i="21" s="1"/>
  <c r="L165" i="21"/>
  <c r="L143" i="21"/>
  <c r="L132" i="21"/>
  <c r="L163" i="21"/>
  <c r="L76" i="21"/>
  <c r="O76" i="21" s="1"/>
  <c r="L149" i="21"/>
  <c r="L133" i="21"/>
  <c r="L126" i="21"/>
  <c r="L146" i="21"/>
  <c r="L155" i="21"/>
  <c r="L136" i="21"/>
  <c r="AG62" i="16"/>
  <c r="L151" i="21"/>
  <c r="L160" i="21"/>
  <c r="L142" i="21"/>
  <c r="L147" i="21"/>
  <c r="L161" i="21"/>
  <c r="L150" i="21"/>
  <c r="L140" i="21"/>
  <c r="L79" i="21"/>
  <c r="O79" i="21" s="1"/>
  <c r="L145" i="21"/>
  <c r="L135" i="21"/>
  <c r="L139" i="21"/>
  <c r="L156" i="21"/>
  <c r="L68" i="21"/>
  <c r="O68" i="21" s="1"/>
  <c r="AA80" i="17"/>
  <c r="AA56" i="17"/>
  <c r="AA81" i="17"/>
  <c r="AA59" i="17"/>
  <c r="AA126" i="16"/>
  <c r="AG126" i="16" s="1"/>
  <c r="AA145" i="16"/>
  <c r="AG145" i="16" s="1"/>
  <c r="AA165" i="16"/>
  <c r="AG165" i="16" s="1"/>
  <c r="AA129" i="16"/>
  <c r="AG129" i="16" s="1"/>
  <c r="AA72" i="17"/>
  <c r="AA50" i="17"/>
  <c r="AA75" i="17"/>
  <c r="AA55" i="17"/>
  <c r="AA150" i="16"/>
  <c r="AG150" i="16" s="1"/>
  <c r="AA139" i="16"/>
  <c r="AG139" i="16" s="1"/>
  <c r="AA136" i="16"/>
  <c r="AG136" i="16" s="1"/>
  <c r="AA70" i="17"/>
  <c r="AA163" i="16"/>
  <c r="AG163" i="16" s="1"/>
  <c r="AA73" i="17"/>
  <c r="AA53" i="17"/>
  <c r="AA141" i="16"/>
  <c r="AG141" i="16" s="1"/>
  <c r="AA131" i="16"/>
  <c r="AG131" i="16" s="1"/>
  <c r="AA128" i="16"/>
  <c r="AG128" i="16" s="1"/>
  <c r="AA147" i="16"/>
  <c r="AG147" i="16" s="1"/>
  <c r="AA154" i="16"/>
  <c r="AG154" i="16" s="1"/>
  <c r="AA60" i="17"/>
  <c r="AA149" i="16"/>
  <c r="AG149" i="16" s="1"/>
  <c r="AA158" i="16"/>
  <c r="AG158" i="16" s="1"/>
  <c r="AA66" i="17"/>
  <c r="AA71" i="17"/>
  <c r="AA49" i="17"/>
  <c r="AA156" i="16"/>
  <c r="AG156" i="16" s="1"/>
  <c r="AA164" i="16"/>
  <c r="AG164" i="16" s="1"/>
  <c r="AA65" i="17"/>
  <c r="AA143" i="16"/>
  <c r="AG143" i="16" s="1"/>
  <c r="AA74" i="17"/>
  <c r="AA54" i="17"/>
  <c r="AA79" i="17"/>
  <c r="AA137" i="16"/>
  <c r="AG137" i="16" s="1"/>
  <c r="AA157" i="16"/>
  <c r="AG157" i="16" s="1"/>
  <c r="AA144" i="16"/>
  <c r="AG144" i="16" s="1"/>
  <c r="AA88" i="17"/>
  <c r="AA64" i="17"/>
  <c r="AA162" i="16"/>
  <c r="AG162" i="16" s="1"/>
  <c r="AA69" i="17"/>
  <c r="AA161" i="16"/>
  <c r="AG161" i="16" s="1"/>
  <c r="AA159" i="16"/>
  <c r="AG159" i="16" s="1"/>
  <c r="AA146" i="16"/>
  <c r="AG146" i="16" s="1"/>
  <c r="AA152" i="16"/>
  <c r="AG152" i="16" s="1"/>
  <c r="AA86" i="17"/>
  <c r="AA87" i="17"/>
  <c r="AA142" i="16"/>
  <c r="AG142" i="16" s="1"/>
  <c r="AA138" i="16"/>
  <c r="AG138" i="16" s="1"/>
  <c r="AA82" i="17"/>
  <c r="AA58" i="17"/>
  <c r="AA85" i="17"/>
  <c r="AA63" i="17"/>
  <c r="AA134" i="16"/>
  <c r="AG134" i="16" s="1"/>
  <c r="AA140" i="16"/>
  <c r="AG140" i="16" s="1"/>
  <c r="AA130" i="16"/>
  <c r="AG130" i="16" s="1"/>
  <c r="AA135" i="16"/>
  <c r="AG135" i="16" s="1"/>
  <c r="AA57" i="17"/>
  <c r="AA68" i="17"/>
  <c r="AA127" i="16"/>
  <c r="AG127" i="16" s="1"/>
  <c r="AA62" i="17"/>
  <c r="AA84" i="17"/>
  <c r="AA153" i="16"/>
  <c r="AG153" i="16" s="1"/>
  <c r="AA78" i="17"/>
  <c r="AA132" i="16"/>
  <c r="AG132" i="16" s="1"/>
  <c r="AA76" i="17"/>
  <c r="AA148" i="16"/>
  <c r="AG148" i="16" s="1"/>
  <c r="AA160" i="16"/>
  <c r="AG160" i="16" s="1"/>
  <c r="AA133" i="16"/>
  <c r="AG133" i="16" s="1"/>
  <c r="AA51" i="17"/>
  <c r="AA151" i="16"/>
  <c r="AG151" i="16" s="1"/>
  <c r="AA67" i="17"/>
  <c r="AA61" i="17"/>
  <c r="AA83" i="17"/>
  <c r="AA77" i="17"/>
  <c r="AA52" i="17"/>
  <c r="AA155" i="16"/>
  <c r="AG155" i="16" s="1"/>
  <c r="AA30" i="17"/>
  <c r="AA113" i="16"/>
  <c r="AG113" i="16" s="1"/>
  <c r="AA107" i="16"/>
  <c r="AG107" i="16" s="1"/>
  <c r="AA110" i="16"/>
  <c r="AG110" i="16" s="1"/>
  <c r="AA111" i="16"/>
  <c r="AG111" i="16" s="1"/>
  <c r="AA36" i="17"/>
  <c r="AA112" i="16"/>
  <c r="AG112" i="16" s="1"/>
  <c r="AA32" i="17"/>
  <c r="AA31" i="17"/>
  <c r="AA27" i="17"/>
  <c r="AA108" i="16"/>
  <c r="AG108" i="16" s="1"/>
  <c r="AA114" i="16"/>
  <c r="AG114" i="16" s="1"/>
  <c r="AA28" i="17"/>
  <c r="AA35" i="17"/>
  <c r="AA34" i="17"/>
  <c r="AA109" i="16"/>
  <c r="AG109" i="16" s="1"/>
  <c r="AA115" i="16"/>
  <c r="AG115" i="16" s="1"/>
  <c r="AA29" i="17"/>
  <c r="AA104" i="16"/>
  <c r="AG104" i="16" s="1"/>
  <c r="AA38" i="17"/>
  <c r="AA106" i="16"/>
  <c r="AG106" i="16" s="1"/>
  <c r="AA37" i="17"/>
  <c r="AA33" i="17"/>
  <c r="AA105" i="16"/>
  <c r="AG105" i="16" s="1"/>
  <c r="AA170" i="16"/>
  <c r="AA99" i="17"/>
  <c r="AA94" i="17"/>
  <c r="AA166" i="16"/>
  <c r="AA95" i="17"/>
  <c r="AA210" i="16"/>
  <c r="AG210" i="16" s="1"/>
  <c r="AA202" i="16"/>
  <c r="AG202" i="16" s="1"/>
  <c r="AA173" i="16"/>
  <c r="AA187" i="16"/>
  <c r="AA207" i="16"/>
  <c r="AG207" i="16" s="1"/>
  <c r="AA208" i="16"/>
  <c r="AG208" i="16" s="1"/>
  <c r="AA100" i="17"/>
  <c r="AA211" i="16"/>
  <c r="AG211" i="16" s="1"/>
  <c r="AA92" i="17"/>
  <c r="AA169" i="16"/>
  <c r="AA193" i="16"/>
  <c r="AA91" i="17"/>
  <c r="AA89" i="17"/>
  <c r="AA97" i="17"/>
  <c r="AA182" i="16"/>
  <c r="AA174" i="16"/>
  <c r="AA201" i="16"/>
  <c r="AA189" i="16"/>
  <c r="AA179" i="16"/>
  <c r="AA96" i="17"/>
  <c r="AA190" i="16"/>
  <c r="AA194" i="16"/>
  <c r="AA186" i="16"/>
  <c r="AA98" i="17"/>
  <c r="AA212" i="16"/>
  <c r="AG212" i="16" s="1"/>
  <c r="AA181" i="16"/>
  <c r="AA200" i="16"/>
  <c r="AA198" i="16"/>
  <c r="AA175" i="16"/>
  <c r="AA180" i="16"/>
  <c r="AA199" i="16"/>
  <c r="AA209" i="16"/>
  <c r="AG209" i="16" s="1"/>
  <c r="AA185" i="16"/>
  <c r="AA184" i="16"/>
  <c r="AA197" i="16"/>
  <c r="AA188" i="16"/>
  <c r="AA172" i="16"/>
  <c r="AA178" i="16"/>
  <c r="AA196" i="16"/>
  <c r="AA204" i="16"/>
  <c r="AG204" i="16" s="1"/>
  <c r="AA90" i="17"/>
  <c r="AA192" i="16"/>
  <c r="AA176" i="16"/>
  <c r="AA168" i="16"/>
  <c r="AA167" i="16"/>
  <c r="AA177" i="16"/>
  <c r="AA191" i="16"/>
  <c r="AA195" i="16"/>
  <c r="AA206" i="16"/>
  <c r="AG206" i="16" s="1"/>
  <c r="AA205" i="16"/>
  <c r="AG205" i="16" s="1"/>
  <c r="AA171" i="16"/>
  <c r="AA183" i="16"/>
  <c r="AA203" i="16"/>
  <c r="AG203" i="16" s="1"/>
  <c r="AA213" i="16"/>
  <c r="AG213" i="16" s="1"/>
  <c r="AA93" i="17"/>
  <c r="O130" i="21"/>
  <c r="AA16" i="17"/>
  <c r="AA94" i="16"/>
  <c r="AG94" i="16" s="1"/>
  <c r="AA96" i="16"/>
  <c r="AG96" i="16" s="1"/>
  <c r="AA25" i="17"/>
  <c r="AA97" i="16"/>
  <c r="AG97" i="16" s="1"/>
  <c r="AA103" i="16"/>
  <c r="AG103" i="16" s="1"/>
  <c r="AA23" i="17"/>
  <c r="AA101" i="16"/>
  <c r="AG101" i="16" s="1"/>
  <c r="AA95" i="16"/>
  <c r="AG95" i="16" s="1"/>
  <c r="AA26" i="17"/>
  <c r="AA21" i="17"/>
  <c r="AA93" i="16"/>
  <c r="AG93" i="16" s="1"/>
  <c r="AA24" i="17"/>
  <c r="AA19" i="17"/>
  <c r="AA100" i="16"/>
  <c r="AG100" i="16" s="1"/>
  <c r="AA22" i="17"/>
  <c r="AA17" i="17"/>
  <c r="AA92" i="16"/>
  <c r="AG92" i="16" s="1"/>
  <c r="AA20" i="17"/>
  <c r="AA15" i="17"/>
  <c r="AA99" i="16"/>
  <c r="AG99" i="16" s="1"/>
  <c r="AA18" i="17"/>
  <c r="AA102" i="16"/>
  <c r="AG102" i="16" s="1"/>
  <c r="AA98" i="16"/>
  <c r="AG98" i="16" s="1"/>
  <c r="L75" i="21"/>
  <c r="O75" i="21" s="1"/>
  <c r="AA225" i="16"/>
  <c r="AA224" i="16"/>
  <c r="AA223" i="16"/>
  <c r="AA217" i="16"/>
  <c r="AA222" i="16"/>
  <c r="AA221" i="16"/>
  <c r="AA214" i="16"/>
  <c r="AA220" i="16"/>
  <c r="AA219" i="16"/>
  <c r="AA216" i="16"/>
  <c r="AA218" i="16"/>
  <c r="AA215" i="16"/>
  <c r="O138" i="21"/>
  <c r="T10" i="21"/>
  <c r="Y43" i="12"/>
  <c r="AB5" i="12"/>
  <c r="AB43" i="12" s="1"/>
  <c r="O159" i="21" l="1"/>
  <c r="O137" i="21"/>
  <c r="O151" i="21"/>
  <c r="O158" i="21"/>
  <c r="O126" i="21"/>
  <c r="O141" i="21"/>
  <c r="O128" i="21"/>
  <c r="O162" i="21"/>
  <c r="Y43" i="13"/>
  <c r="AB5" i="13"/>
  <c r="AA25" i="16" s="1"/>
  <c r="AG25" i="16" s="1"/>
  <c r="S5" i="23"/>
  <c r="S57" i="23" s="1"/>
  <c r="S53" i="9"/>
  <c r="K7" i="26"/>
  <c r="M9" i="26"/>
  <c r="K15" i="26"/>
  <c r="K14" i="26"/>
  <c r="C15" i="25"/>
  <c r="C14" i="25"/>
  <c r="AA33" i="16"/>
  <c r="AA29" i="16"/>
  <c r="AA4" i="16"/>
  <c r="AA3" i="16"/>
  <c r="AA32" i="16"/>
  <c r="AA7" i="16"/>
  <c r="AA28" i="16"/>
  <c r="AA36" i="16"/>
  <c r="AA31" i="16"/>
  <c r="AA27" i="16"/>
  <c r="AA10" i="16"/>
  <c r="AA9" i="16"/>
  <c r="AA30" i="16"/>
  <c r="AA37" i="16"/>
  <c r="AA26" i="16"/>
  <c r="AA11" i="16"/>
  <c r="AA35" i="16"/>
  <c r="AA12" i="16"/>
  <c r="AA6" i="16"/>
  <c r="AA34" i="16"/>
  <c r="AA5" i="16"/>
  <c r="AA8" i="16"/>
  <c r="AA13" i="16"/>
  <c r="AA2" i="16"/>
  <c r="AB53" i="8"/>
  <c r="N9" i="25"/>
  <c r="L115" i="21"/>
  <c r="L83" i="21"/>
  <c r="O83" i="21" s="1"/>
  <c r="L94" i="21"/>
  <c r="L105" i="21"/>
  <c r="O105" i="21" s="1"/>
  <c r="L113" i="21"/>
  <c r="L92" i="21"/>
  <c r="O92" i="21" s="1"/>
  <c r="L114" i="21"/>
  <c r="O114" i="21" s="1"/>
  <c r="L97" i="21"/>
  <c r="O97" i="21" s="1"/>
  <c r="L109" i="21"/>
  <c r="O109" i="21" s="1"/>
  <c r="L101" i="21"/>
  <c r="O101" i="21" s="1"/>
  <c r="L111" i="21"/>
  <c r="O111" i="21" s="1"/>
  <c r="L122" i="21"/>
  <c r="O122" i="21" s="1"/>
  <c r="L90" i="21"/>
  <c r="O90" i="21" s="1"/>
  <c r="L80" i="21"/>
  <c r="O80" i="21" s="1"/>
  <c r="L88" i="21"/>
  <c r="O88" i="21" s="1"/>
  <c r="L84" i="21"/>
  <c r="O84" i="21" s="1"/>
  <c r="L104" i="21"/>
  <c r="O104" i="21" s="1"/>
  <c r="L116" i="21"/>
  <c r="O116" i="21" s="1"/>
  <c r="L82" i="21"/>
  <c r="O82" i="21" s="1"/>
  <c r="L85" i="21"/>
  <c r="O85" i="21" s="1"/>
  <c r="L98" i="21"/>
  <c r="O98" i="21" s="1"/>
  <c r="L107" i="21"/>
  <c r="O107" i="21" s="1"/>
  <c r="L118" i="21"/>
  <c r="O118" i="21" s="1"/>
  <c r="L86" i="21"/>
  <c r="O86" i="21" s="1"/>
  <c r="L124" i="21"/>
  <c r="O124" i="21" s="1"/>
  <c r="L103" i="21"/>
  <c r="L99" i="21"/>
  <c r="L110" i="21"/>
  <c r="O110" i="21" s="1"/>
  <c r="L125" i="21"/>
  <c r="O125" i="21" s="1"/>
  <c r="L121" i="21"/>
  <c r="O121" i="21" s="1"/>
  <c r="L108" i="21"/>
  <c r="O108" i="21" s="1"/>
  <c r="L95" i="21"/>
  <c r="L106" i="21"/>
  <c r="O106" i="21" s="1"/>
  <c r="L96" i="21"/>
  <c r="L120" i="21"/>
  <c r="O120" i="21" s="1"/>
  <c r="L119" i="21"/>
  <c r="O119" i="21" s="1"/>
  <c r="L117" i="21"/>
  <c r="O117" i="21" s="1"/>
  <c r="AG116" i="16"/>
  <c r="AC9" i="21" s="1"/>
  <c r="L100" i="21"/>
  <c r="L87" i="21"/>
  <c r="O87" i="21" s="1"/>
  <c r="L123" i="21"/>
  <c r="O123" i="21" s="1"/>
  <c r="L91" i="21"/>
  <c r="O91" i="21" s="1"/>
  <c r="L102" i="21"/>
  <c r="L93" i="21"/>
  <c r="O93" i="21" s="1"/>
  <c r="L89" i="21"/>
  <c r="O89" i="21" s="1"/>
  <c r="L81" i="21"/>
  <c r="O81" i="21" s="1"/>
  <c r="L112" i="21"/>
  <c r="O112" i="21" s="1"/>
  <c r="K14" i="25"/>
  <c r="K15" i="25"/>
  <c r="K11" i="26"/>
  <c r="M11" i="26" s="1"/>
  <c r="O131" i="21"/>
  <c r="O139" i="21"/>
  <c r="O145" i="21"/>
  <c r="O165" i="21"/>
  <c r="O160" i="21"/>
  <c r="O144" i="21"/>
  <c r="O164" i="21"/>
  <c r="O154" i="21"/>
  <c r="O129" i="21"/>
  <c r="O149" i="21"/>
  <c r="O163" i="21"/>
  <c r="O134" i="21"/>
  <c r="O94" i="21"/>
  <c r="AP4" i="16"/>
  <c r="AQ4" i="16" s="1"/>
  <c r="O153" i="21"/>
  <c r="AC10" i="21"/>
  <c r="O140" i="21"/>
  <c r="O157" i="21"/>
  <c r="O113" i="21"/>
  <c r="AG225" i="16"/>
  <c r="L225" i="21"/>
  <c r="O225" i="21" s="1"/>
  <c r="AG177" i="16"/>
  <c r="L177" i="21"/>
  <c r="O177" i="21" s="1"/>
  <c r="L178" i="21"/>
  <c r="O178" i="21" s="1"/>
  <c r="AG178" i="16"/>
  <c r="AG194" i="16"/>
  <c r="L194" i="21"/>
  <c r="O194" i="21" s="1"/>
  <c r="L182" i="21"/>
  <c r="O182" i="21" s="1"/>
  <c r="AG182" i="16"/>
  <c r="L166" i="21"/>
  <c r="AG166" i="16"/>
  <c r="AG214" i="16"/>
  <c r="L214" i="21"/>
  <c r="AG167" i="16"/>
  <c r="L167" i="21"/>
  <c r="O167" i="21" s="1"/>
  <c r="AG172" i="16"/>
  <c r="L172" i="21"/>
  <c r="O172" i="21" s="1"/>
  <c r="AG175" i="16"/>
  <c r="L175" i="21"/>
  <c r="O175" i="21" s="1"/>
  <c r="AG190" i="16"/>
  <c r="L190" i="21"/>
  <c r="O190" i="21" s="1"/>
  <c r="O115" i="21"/>
  <c r="O152" i="21"/>
  <c r="O133" i="21"/>
  <c r="AG221" i="16"/>
  <c r="L221" i="21"/>
  <c r="O221" i="21" s="1"/>
  <c r="AG168" i="16"/>
  <c r="L168" i="21"/>
  <c r="O168" i="21" s="1"/>
  <c r="AG198" i="16"/>
  <c r="L198" i="21"/>
  <c r="O198" i="21" s="1"/>
  <c r="AG222" i="16"/>
  <c r="L222" i="21"/>
  <c r="O222" i="21" s="1"/>
  <c r="L171" i="21"/>
  <c r="O171" i="21" s="1"/>
  <c r="AG171" i="16"/>
  <c r="L176" i="21"/>
  <c r="O176" i="21" s="1"/>
  <c r="AG176" i="16"/>
  <c r="AG197" i="16"/>
  <c r="L197" i="21"/>
  <c r="O197" i="21" s="1"/>
  <c r="AG200" i="16"/>
  <c r="L200" i="21"/>
  <c r="O200" i="21" s="1"/>
  <c r="AG179" i="16"/>
  <c r="L179" i="21"/>
  <c r="O179" i="21" s="1"/>
  <c r="L187" i="21"/>
  <c r="O187" i="21" s="1"/>
  <c r="AG187" i="16"/>
  <c r="AG170" i="16"/>
  <c r="L170" i="21"/>
  <c r="O170" i="21" s="1"/>
  <c r="O148" i="21"/>
  <c r="O150" i="21"/>
  <c r="O132" i="21"/>
  <c r="O99" i="21"/>
  <c r="AG215" i="16"/>
  <c r="L215" i="21"/>
  <c r="O215" i="21" s="1"/>
  <c r="L217" i="21"/>
  <c r="O217" i="21" s="1"/>
  <c r="AG217" i="16"/>
  <c r="AG192" i="16"/>
  <c r="L192" i="21"/>
  <c r="O192" i="21" s="1"/>
  <c r="AG184" i="16"/>
  <c r="L184" i="21"/>
  <c r="O184" i="21" s="1"/>
  <c r="AG181" i="16"/>
  <c r="L181" i="21"/>
  <c r="O181" i="21" s="1"/>
  <c r="AG189" i="16"/>
  <c r="L189" i="21"/>
  <c r="O189" i="21" s="1"/>
  <c r="L193" i="21"/>
  <c r="O193" i="21" s="1"/>
  <c r="AG193" i="16"/>
  <c r="AG173" i="16"/>
  <c r="L173" i="21"/>
  <c r="O173" i="21" s="1"/>
  <c r="O156" i="21"/>
  <c r="O161" i="21"/>
  <c r="O95" i="21"/>
  <c r="AG218" i="16"/>
  <c r="L218" i="21"/>
  <c r="O218" i="21" s="1"/>
  <c r="AG223" i="16"/>
  <c r="L223" i="21"/>
  <c r="O223" i="21" s="1"/>
  <c r="AG185" i="16"/>
  <c r="L185" i="21"/>
  <c r="O185" i="21" s="1"/>
  <c r="L212" i="21"/>
  <c r="O212" i="21" s="1"/>
  <c r="L205" i="21"/>
  <c r="O205" i="21" s="1"/>
  <c r="L211" i="21"/>
  <c r="O211" i="21" s="1"/>
  <c r="L210" i="21"/>
  <c r="O210" i="21" s="1"/>
  <c r="L209" i="21"/>
  <c r="O209" i="21" s="1"/>
  <c r="L202" i="21"/>
  <c r="O202" i="21" s="1"/>
  <c r="L201" i="21"/>
  <c r="O201" i="21" s="1"/>
  <c r="L207" i="21"/>
  <c r="O207" i="21" s="1"/>
  <c r="L203" i="21"/>
  <c r="O203" i="21" s="1"/>
  <c r="L208" i="21"/>
  <c r="O208" i="21" s="1"/>
  <c r="L204" i="21"/>
  <c r="O204" i="21" s="1"/>
  <c r="AG201" i="16"/>
  <c r="L206" i="21"/>
  <c r="O206" i="21" s="1"/>
  <c r="L213" i="21"/>
  <c r="O213" i="21" s="1"/>
  <c r="AG169" i="16"/>
  <c r="L169" i="21"/>
  <c r="O169" i="21" s="1"/>
  <c r="O135" i="21"/>
  <c r="O147" i="21"/>
  <c r="O96" i="21"/>
  <c r="L188" i="21"/>
  <c r="O188" i="21" s="1"/>
  <c r="AG188" i="16"/>
  <c r="AG216" i="16"/>
  <c r="L216" i="21"/>
  <c r="O216" i="21" s="1"/>
  <c r="AG224" i="16"/>
  <c r="L224" i="21"/>
  <c r="O224" i="21" s="1"/>
  <c r="AG195" i="16"/>
  <c r="L195" i="21"/>
  <c r="O195" i="21" s="1"/>
  <c r="O142" i="21"/>
  <c r="O136" i="21"/>
  <c r="O143" i="21"/>
  <c r="AG183" i="16"/>
  <c r="L183" i="21"/>
  <c r="O183" i="21" s="1"/>
  <c r="AG219" i="16"/>
  <c r="L219" i="21"/>
  <c r="O219" i="21" s="1"/>
  <c r="O102" i="21"/>
  <c r="L191" i="21"/>
  <c r="O191" i="21" s="1"/>
  <c r="AG191" i="16"/>
  <c r="AG196" i="16"/>
  <c r="L196" i="21"/>
  <c r="O196" i="21" s="1"/>
  <c r="AG199" i="16"/>
  <c r="L199" i="21"/>
  <c r="O199" i="21" s="1"/>
  <c r="AG186" i="16"/>
  <c r="L186" i="21"/>
  <c r="O186" i="21" s="1"/>
  <c r="AG174" i="16"/>
  <c r="L174" i="21"/>
  <c r="O174" i="21" s="1"/>
  <c r="O103" i="21"/>
  <c r="O155" i="21"/>
  <c r="O127" i="21"/>
  <c r="AG220" i="16"/>
  <c r="L220" i="21"/>
  <c r="O220" i="21" s="1"/>
  <c r="AG180" i="16"/>
  <c r="L180" i="21"/>
  <c r="O180" i="21" s="1"/>
  <c r="O146" i="21"/>
  <c r="O100" i="21"/>
  <c r="AP3" i="16" l="1"/>
  <c r="AQ3" i="16" s="1"/>
  <c r="AB43" i="13"/>
  <c r="G5" i="28"/>
  <c r="G10" i="28"/>
  <c r="AA16" i="16"/>
  <c r="AA17" i="16"/>
  <c r="L17" i="21" s="1"/>
  <c r="O17" i="21" s="1"/>
  <c r="AA15" i="16"/>
  <c r="AG15" i="16" s="1"/>
  <c r="AA56" i="16"/>
  <c r="L56" i="21" s="1"/>
  <c r="O56" i="21" s="1"/>
  <c r="AA23" i="16"/>
  <c r="L23" i="21" s="1"/>
  <c r="O23" i="21" s="1"/>
  <c r="AA55" i="16"/>
  <c r="AG55" i="16" s="1"/>
  <c r="AA53" i="16"/>
  <c r="L53" i="21" s="1"/>
  <c r="O53" i="21" s="1"/>
  <c r="AA60" i="16"/>
  <c r="AA54" i="16"/>
  <c r="AG54" i="16" s="1"/>
  <c r="AA61" i="16"/>
  <c r="AG61" i="16" s="1"/>
  <c r="AA59" i="16"/>
  <c r="AA51" i="16"/>
  <c r="AG51" i="16" s="1"/>
  <c r="AA20" i="16"/>
  <c r="AG20" i="16" s="1"/>
  <c r="AA58" i="16"/>
  <c r="AA24" i="16"/>
  <c r="AG24" i="16" s="1"/>
  <c r="AA21" i="16"/>
  <c r="AA57" i="16"/>
  <c r="AG57" i="16" s="1"/>
  <c r="AA52" i="16"/>
  <c r="AG52" i="16" s="1"/>
  <c r="AA22" i="16"/>
  <c r="AG22" i="16" s="1"/>
  <c r="AA19" i="16"/>
  <c r="AG19" i="16" s="1"/>
  <c r="AA50" i="16"/>
  <c r="AA18" i="16"/>
  <c r="AA14" i="16"/>
  <c r="L15" i="21"/>
  <c r="O15" i="21" s="1"/>
  <c r="L6" i="21"/>
  <c r="O6" i="21" s="1"/>
  <c r="AG6" i="16"/>
  <c r="AG3" i="16"/>
  <c r="L3" i="21"/>
  <c r="O3" i="21" s="1"/>
  <c r="M14" i="26"/>
  <c r="M15" i="26"/>
  <c r="N15" i="25"/>
  <c r="N14" i="25"/>
  <c r="L12" i="21"/>
  <c r="O12" i="21" s="1"/>
  <c r="AG12" i="16"/>
  <c r="AG10" i="16"/>
  <c r="L10" i="21"/>
  <c r="O10" i="21" s="1"/>
  <c r="AG4" i="16"/>
  <c r="L4" i="21"/>
  <c r="O4" i="21" s="1"/>
  <c r="K13" i="26"/>
  <c r="M7" i="26"/>
  <c r="M13" i="26" s="1"/>
  <c r="L35" i="21"/>
  <c r="O35" i="21" s="1"/>
  <c r="AG35" i="16"/>
  <c r="L27" i="21"/>
  <c r="O27" i="21" s="1"/>
  <c r="AG27" i="16"/>
  <c r="AG29" i="16"/>
  <c r="L29" i="21"/>
  <c r="O29" i="21" s="1"/>
  <c r="L22" i="21"/>
  <c r="O22" i="21" s="1"/>
  <c r="AG2" i="16"/>
  <c r="L2" i="21"/>
  <c r="O2" i="21" s="1"/>
  <c r="AG11" i="16"/>
  <c r="L11" i="21"/>
  <c r="O11" i="21" s="1"/>
  <c r="AG31" i="16"/>
  <c r="L31" i="21"/>
  <c r="O31" i="21" s="1"/>
  <c r="AG33" i="16"/>
  <c r="L33" i="21"/>
  <c r="O33" i="21" s="1"/>
  <c r="I11" i="25"/>
  <c r="I7" i="25"/>
  <c r="I13" i="25" s="1"/>
  <c r="I9" i="25"/>
  <c r="AG13" i="16"/>
  <c r="L13" i="21"/>
  <c r="O13" i="21" s="1"/>
  <c r="L26" i="21"/>
  <c r="O26" i="21" s="1"/>
  <c r="AG26" i="16"/>
  <c r="AG36" i="16"/>
  <c r="L36" i="21"/>
  <c r="O36" i="21" s="1"/>
  <c r="AG8" i="16"/>
  <c r="L8" i="21"/>
  <c r="O8" i="21" s="1"/>
  <c r="L37" i="21"/>
  <c r="O37" i="21" s="1"/>
  <c r="AG37" i="16"/>
  <c r="AG28" i="16"/>
  <c r="L28" i="21"/>
  <c r="O28" i="21" s="1"/>
  <c r="AG5" i="16"/>
  <c r="L5" i="21"/>
  <c r="O5" i="21" s="1"/>
  <c r="AG30" i="16"/>
  <c r="L30" i="21"/>
  <c r="O30" i="21" s="1"/>
  <c r="AG7" i="16"/>
  <c r="L7" i="21"/>
  <c r="O7" i="21" s="1"/>
  <c r="L34" i="21"/>
  <c r="O34" i="21" s="1"/>
  <c r="AG34" i="16"/>
  <c r="L9" i="21"/>
  <c r="O9" i="21" s="1"/>
  <c r="AG9" i="16"/>
  <c r="L32" i="21"/>
  <c r="O32" i="21" s="1"/>
  <c r="AG32" i="16"/>
  <c r="T9" i="21"/>
  <c r="AP6" i="16"/>
  <c r="AQ6" i="16" s="1"/>
  <c r="AG53" i="16"/>
  <c r="L54" i="21"/>
  <c r="O54" i="21" s="1"/>
  <c r="L52" i="21"/>
  <c r="O52" i="21" s="1"/>
  <c r="L24" i="21"/>
  <c r="O24" i="21" s="1"/>
  <c r="L57" i="21"/>
  <c r="O57" i="21" s="1"/>
  <c r="W10" i="21"/>
  <c r="Z10" i="21" s="1"/>
  <c r="AH10" i="21" s="1"/>
  <c r="W9" i="21"/>
  <c r="AP5" i="16"/>
  <c r="AQ5" i="16" s="1"/>
  <c r="T11" i="21"/>
  <c r="O166" i="21"/>
  <c r="W11" i="21" s="1"/>
  <c r="T12" i="21"/>
  <c r="O214" i="21"/>
  <c r="W12" i="21" s="1"/>
  <c r="AC12" i="21"/>
  <c r="AC11" i="21"/>
  <c r="L25" i="21"/>
  <c r="O25" i="21" s="1"/>
  <c r="AG56" i="16" l="1"/>
  <c r="AG23" i="16"/>
  <c r="L61" i="21"/>
  <c r="O61" i="21" s="1"/>
  <c r="AG59" i="16"/>
  <c r="L59" i="21"/>
  <c r="O59" i="21" s="1"/>
  <c r="AG17" i="16"/>
  <c r="L16" i="21"/>
  <c r="O16" i="21" s="1"/>
  <c r="AG16" i="16"/>
  <c r="L20" i="21"/>
  <c r="O20" i="21" s="1"/>
  <c r="L55" i="21"/>
  <c r="O55" i="21" s="1"/>
  <c r="L21" i="21"/>
  <c r="O21" i="21" s="1"/>
  <c r="AG21" i="16"/>
  <c r="AG60" i="16"/>
  <c r="L60" i="21"/>
  <c r="O60" i="21" s="1"/>
  <c r="L19" i="21"/>
  <c r="O19" i="21" s="1"/>
  <c r="L51" i="21"/>
  <c r="O51" i="21" s="1"/>
  <c r="L14" i="21"/>
  <c r="O14" i="21" s="1"/>
  <c r="AG14" i="16"/>
  <c r="AP2" i="16" s="1"/>
  <c r="AP7" i="16" s="1"/>
  <c r="AG18" i="16"/>
  <c r="L18" i="21"/>
  <c r="O18" i="21" s="1"/>
  <c r="L58" i="21"/>
  <c r="O58" i="21" s="1"/>
  <c r="AG58" i="16"/>
  <c r="AG50" i="16"/>
  <c r="L50" i="21"/>
  <c r="O50" i="21" s="1"/>
  <c r="AC7" i="21"/>
  <c r="Z9" i="21"/>
  <c r="AH9" i="21" s="1"/>
  <c r="I15" i="25"/>
  <c r="I14" i="25"/>
  <c r="T7" i="21"/>
  <c r="Z12" i="21"/>
  <c r="AH12" i="21" s="1"/>
  <c r="W7" i="21"/>
  <c r="Z11" i="21"/>
  <c r="AH11" i="21" s="1"/>
  <c r="AP8" i="16"/>
  <c r="AQ8" i="16" s="1"/>
  <c r="AQ2" i="16" l="1"/>
  <c r="Z7" i="21"/>
  <c r="AH7" i="21" s="1"/>
  <c r="AQ7" i="16"/>
  <c r="AP9" i="16"/>
  <c r="AQ9" i="16" s="1"/>
  <c r="AF76" i="23" l="1"/>
  <c r="AF24" i="23"/>
  <c r="N130" i="21"/>
  <c r="K130" i="21"/>
  <c r="AF142" i="16"/>
  <c r="Z142" i="16"/>
  <c r="N99" i="21"/>
  <c r="K99" i="21"/>
  <c r="AG11" i="9"/>
  <c r="AE11" i="9"/>
  <c r="AO11" i="9"/>
  <c r="AF143" i="16"/>
  <c r="Z143" i="16"/>
  <c r="N86" i="21"/>
  <c r="K86" i="21"/>
  <c r="AL49" i="9"/>
  <c r="AJ49" i="9"/>
  <c r="M5" i="21"/>
  <c r="J5" i="21"/>
  <c r="AF87" i="16"/>
  <c r="Z87" i="16"/>
  <c r="AF210" i="16"/>
  <c r="Z210" i="16"/>
  <c r="N67" i="21"/>
  <c r="K67" i="21"/>
  <c r="N154" i="21"/>
  <c r="K154" i="21"/>
  <c r="AB83" i="23"/>
  <c r="AB31" i="23"/>
  <c r="AL8" i="8"/>
  <c r="AJ8" i="8"/>
  <c r="AV7" i="16"/>
  <c r="AU7" i="16"/>
  <c r="AM18" i="9"/>
  <c r="T18" i="9"/>
  <c r="N18" i="9"/>
  <c r="N151" i="21"/>
  <c r="K151" i="21"/>
  <c r="N148" i="21"/>
  <c r="K148" i="21"/>
  <c r="AG41" i="9"/>
  <c r="AE41" i="9"/>
  <c r="AO41" i="9"/>
  <c r="AE95" i="17"/>
  <c r="Z95" i="17"/>
  <c r="N112" i="21"/>
  <c r="K112" i="21"/>
  <c r="N60" i="21"/>
  <c r="K60" i="21"/>
  <c r="AF43" i="9"/>
  <c r="AP43" i="9"/>
  <c r="AF45" i="9"/>
  <c r="AP45" i="9"/>
  <c r="AM36" i="9"/>
  <c r="T36" i="9"/>
  <c r="N36" i="9"/>
  <c r="N104" i="21"/>
  <c r="K104" i="21"/>
  <c r="AF73" i="23"/>
  <c r="AF21" i="23"/>
  <c r="N61" i="21"/>
  <c r="K61" i="21"/>
  <c r="AL19" i="8"/>
  <c r="AJ19" i="8"/>
  <c r="AF59" i="23"/>
  <c r="AF7" i="23"/>
  <c r="N157" i="21"/>
  <c r="K157" i="21"/>
  <c r="N10" i="9"/>
  <c r="T10" i="9"/>
  <c r="AM10" i="9"/>
  <c r="AM20" i="8"/>
  <c r="T20" i="8"/>
  <c r="N20" i="8"/>
  <c r="N140" i="21"/>
  <c r="K140" i="21"/>
  <c r="AF209" i="16"/>
  <c r="Z209" i="16"/>
  <c r="AE23" i="17"/>
  <c r="Z23" i="17"/>
  <c r="N91" i="21"/>
  <c r="K91" i="21"/>
  <c r="AL30" i="8"/>
  <c r="AJ30" i="8"/>
  <c r="N115" i="21"/>
  <c r="K115" i="21"/>
  <c r="AF175" i="16"/>
  <c r="AB65" i="23"/>
  <c r="AB13" i="23"/>
  <c r="AL35" i="8"/>
  <c r="AJ35" i="8"/>
  <c r="AE60" i="17"/>
  <c r="Z60" i="17"/>
  <c r="AM29" i="8"/>
  <c r="T29" i="8"/>
  <c r="N29" i="8"/>
  <c r="AG71" i="23"/>
  <c r="AG19" i="23"/>
  <c r="N147" i="21"/>
  <c r="K147" i="21"/>
  <c r="AG77" i="23"/>
  <c r="AG25" i="23"/>
  <c r="AB67" i="23"/>
  <c r="AB15" i="23"/>
  <c r="AF215" i="16"/>
  <c r="AB96" i="23"/>
  <c r="AB44" i="23"/>
  <c r="AO15" i="8"/>
  <c r="AE15" i="8"/>
  <c r="AG15" i="8"/>
  <c r="AF10" i="9"/>
  <c r="AP10" i="9"/>
  <c r="M8" i="21"/>
  <c r="J8" i="21"/>
  <c r="R5" i="28"/>
  <c r="AM17" i="7"/>
  <c r="U5" i="28"/>
  <c r="AM22" i="9"/>
  <c r="T22" i="9"/>
  <c r="N22" i="9"/>
  <c r="AG48" i="9"/>
  <c r="AE48" i="9"/>
  <c r="AO48" i="9"/>
  <c r="AL36" i="8"/>
  <c r="AJ36" i="8"/>
  <c r="AL18" i="8"/>
  <c r="AJ18" i="8"/>
  <c r="N58" i="7"/>
  <c r="N53" i="7"/>
  <c r="AB78" i="23"/>
  <c r="AB26" i="23"/>
  <c r="AL20" i="9"/>
  <c r="AJ20" i="9"/>
  <c r="Y8" i="16"/>
  <c r="AE8" i="16"/>
  <c r="V13" i="25"/>
  <c r="V7" i="25"/>
  <c r="M25" i="21"/>
  <c r="J25" i="21"/>
  <c r="AL49" i="8"/>
  <c r="AJ49" i="8"/>
  <c r="AF107" i="16"/>
  <c r="Z107" i="16"/>
  <c r="AL41" i="8"/>
  <c r="AJ41" i="8"/>
  <c r="AE13" i="17"/>
  <c r="Z13" i="17"/>
  <c r="AF42" i="9"/>
  <c r="AP42" i="9"/>
  <c r="AF62" i="23"/>
  <c r="AF10" i="23"/>
  <c r="AF221" i="16"/>
  <c r="AM21" i="9"/>
  <c r="T21" i="9"/>
  <c r="N21" i="9"/>
  <c r="M16" i="21"/>
  <c r="J16" i="21"/>
  <c r="R6" i="28"/>
  <c r="AM18" i="7"/>
  <c r="U6" i="28"/>
  <c r="R27" i="28"/>
  <c r="AM45" i="7"/>
  <c r="U27" i="28"/>
  <c r="AF212" i="16"/>
  <c r="Z212" i="16"/>
  <c r="Y25" i="16"/>
  <c r="AE25" i="16"/>
  <c r="AF58" i="7"/>
  <c r="AE58" i="7"/>
  <c r="AF44" i="9"/>
  <c r="AP44" i="9"/>
  <c r="N68" i="23"/>
  <c r="N16" i="23"/>
  <c r="R18" i="28"/>
  <c r="AM35" i="7"/>
  <c r="U18" i="28"/>
  <c r="AL34" i="8"/>
  <c r="AJ34" i="8"/>
  <c r="AF20" i="9"/>
  <c r="AP20" i="9"/>
  <c r="N111" i="21"/>
  <c r="K111" i="21"/>
  <c r="AL13" i="9"/>
  <c r="AJ13" i="9"/>
  <c r="AO26" i="8"/>
  <c r="AE26" i="8"/>
  <c r="AG26" i="8"/>
  <c r="N144" i="21"/>
  <c r="K144" i="21"/>
  <c r="AE14" i="16"/>
  <c r="AF138" i="16"/>
  <c r="Z138" i="16"/>
  <c r="N217" i="21"/>
  <c r="K217" i="21"/>
  <c r="AM11" i="8"/>
  <c r="T11" i="8"/>
  <c r="N11" i="8"/>
  <c r="AF11" i="9"/>
  <c r="AP11" i="9"/>
  <c r="AF86" i="23"/>
  <c r="AF34" i="23"/>
  <c r="AF41" i="9"/>
  <c r="AP41" i="9"/>
  <c r="N201" i="21"/>
  <c r="K201" i="21"/>
  <c r="AF95" i="23"/>
  <c r="AF43" i="23"/>
  <c r="AF128" i="16"/>
  <c r="Z128" i="16"/>
  <c r="AG27" i="9"/>
  <c r="AE27" i="9"/>
  <c r="AO27" i="9"/>
  <c r="AB70" i="23"/>
  <c r="AB18" i="23"/>
  <c r="M48" i="21"/>
  <c r="J48" i="21"/>
  <c r="AF82" i="16"/>
  <c r="Z82" i="16"/>
  <c r="Y14" i="16"/>
  <c r="J14" i="21"/>
  <c r="M14" i="21"/>
  <c r="AE87" i="17"/>
  <c r="Z87" i="17"/>
  <c r="AL44" i="8"/>
  <c r="AJ44" i="8"/>
  <c r="N99" i="23"/>
  <c r="N47" i="23"/>
  <c r="AF183" i="16"/>
  <c r="Z217" i="16"/>
  <c r="AF217" i="16"/>
  <c r="AF9" i="16"/>
  <c r="AK31" i="8"/>
  <c r="AK31" i="9"/>
  <c r="AE86" i="17"/>
  <c r="Z86" i="17"/>
  <c r="AG39" i="9"/>
  <c r="AE39" i="9"/>
  <c r="AO39" i="9"/>
  <c r="AG15" i="9"/>
  <c r="AE15" i="9"/>
  <c r="AO15" i="9"/>
  <c r="AF225" i="16"/>
  <c r="AL51" i="8"/>
  <c r="AJ51" i="8"/>
  <c r="N170" i="21"/>
  <c r="K170" i="21"/>
  <c r="AF94" i="16"/>
  <c r="Z94" i="16"/>
  <c r="AG41" i="8"/>
  <c r="AK31" i="6"/>
  <c r="AK31" i="7"/>
  <c r="AG31" i="23"/>
  <c r="AG83" i="23"/>
  <c r="AM26" i="9"/>
  <c r="T26" i="9"/>
  <c r="N26" i="9"/>
  <c r="AC86" i="23"/>
  <c r="AC34" i="23"/>
  <c r="AF34" i="8"/>
  <c r="AP34" i="8"/>
  <c r="AM17" i="8"/>
  <c r="T17" i="8"/>
  <c r="N17" i="8"/>
  <c r="AL21" i="8"/>
  <c r="AJ21" i="8"/>
  <c r="AG29" i="9"/>
  <c r="AE29" i="9"/>
  <c r="AO29" i="9"/>
  <c r="AF148" i="16"/>
  <c r="Z148" i="16"/>
  <c r="AF120" i="16"/>
  <c r="Z120" i="16"/>
  <c r="AF190" i="16"/>
  <c r="AK25" i="8"/>
  <c r="AK25" i="6"/>
  <c r="AK25" i="7"/>
  <c r="AK25" i="9"/>
  <c r="N156" i="21"/>
  <c r="K156" i="21"/>
  <c r="AP55" i="8"/>
  <c r="AP53" i="8"/>
  <c r="Z183" i="16"/>
  <c r="K183" i="21"/>
  <c r="N183" i="21"/>
  <c r="N25" i="21"/>
  <c r="K25" i="21"/>
  <c r="AL38" i="8"/>
  <c r="AJ38" i="8"/>
  <c r="AK26" i="9"/>
  <c r="AK26" i="8"/>
  <c r="N134" i="21"/>
  <c r="K134" i="21"/>
  <c r="Z190" i="16"/>
  <c r="K190" i="21"/>
  <c r="N190" i="21"/>
  <c r="Z9" i="16"/>
  <c r="K9" i="21"/>
  <c r="N9" i="21"/>
  <c r="AM33" i="9"/>
  <c r="T33" i="9"/>
  <c r="N33" i="9"/>
  <c r="X11" i="25"/>
  <c r="D11" i="25"/>
  <c r="AF173" i="16"/>
  <c r="Z225" i="16"/>
  <c r="K225" i="21"/>
  <c r="N225" i="21"/>
  <c r="AG103" i="23"/>
  <c r="AG51" i="23"/>
  <c r="AL48" i="8"/>
  <c r="AJ48" i="8"/>
  <c r="AP29" i="8"/>
  <c r="AF29" i="8"/>
  <c r="AC29" i="23"/>
  <c r="AC81" i="23"/>
  <c r="AE46" i="16"/>
  <c r="AK53" i="8"/>
  <c r="N65" i="21"/>
  <c r="K65" i="21"/>
  <c r="AB87" i="23"/>
  <c r="AB35" i="23"/>
  <c r="AG50" i="8"/>
  <c r="AE73" i="17"/>
  <c r="Z73" i="17"/>
  <c r="N23" i="21"/>
  <c r="K23" i="21"/>
  <c r="AF112" i="16"/>
  <c r="Z112" i="16"/>
  <c r="AF74" i="23"/>
  <c r="AF22" i="23"/>
  <c r="AO8" i="9"/>
  <c r="AE8" i="9"/>
  <c r="AG8" i="9"/>
  <c r="Z25" i="16"/>
  <c r="AF25" i="16"/>
  <c r="Z215" i="16"/>
  <c r="K215" i="21"/>
  <c r="N215" i="21"/>
  <c r="AB94" i="23"/>
  <c r="AB42" i="23"/>
  <c r="AO38" i="9"/>
  <c r="AE38" i="9"/>
  <c r="AG38" i="9"/>
  <c r="AG97" i="23"/>
  <c r="AG45" i="23"/>
  <c r="N204" i="21"/>
  <c r="K204" i="21"/>
  <c r="Z173" i="16"/>
  <c r="K173" i="21"/>
  <c r="N173" i="21"/>
  <c r="AL8" i="9"/>
  <c r="AJ8" i="9"/>
  <c r="N153" i="21"/>
  <c r="K153" i="21"/>
  <c r="AM33" i="8"/>
  <c r="T33" i="8"/>
  <c r="N33" i="8"/>
  <c r="AF92" i="16"/>
  <c r="Z92" i="16"/>
  <c r="F49" i="5"/>
  <c r="AM53" i="9"/>
  <c r="F48" i="5"/>
  <c r="AF31" i="9"/>
  <c r="AP31" i="9"/>
  <c r="Y46" i="16"/>
  <c r="J46" i="21"/>
  <c r="M46" i="21"/>
  <c r="AF127" i="16"/>
  <c r="Z127" i="16"/>
  <c r="AM47" i="9"/>
  <c r="T47" i="9"/>
  <c r="N47" i="9"/>
  <c r="AK32" i="9"/>
  <c r="AK32" i="8"/>
  <c r="AM39" i="8"/>
  <c r="T39" i="8"/>
  <c r="N39" i="8"/>
  <c r="M7" i="21"/>
  <c r="J7" i="21"/>
  <c r="AF124" i="16"/>
  <c r="Z124" i="16"/>
  <c r="AG98" i="23"/>
  <c r="AG46" i="23"/>
  <c r="AB89" i="23"/>
  <c r="AB37" i="23"/>
  <c r="AL10" i="9"/>
  <c r="AJ10" i="9"/>
  <c r="AK20" i="8"/>
  <c r="AK20" i="9"/>
  <c r="AG10" i="21"/>
  <c r="Y10" i="21"/>
  <c r="S10" i="21"/>
  <c r="N207" i="21"/>
  <c r="K207" i="21"/>
  <c r="AM28" i="8"/>
  <c r="T28" i="8"/>
  <c r="N28" i="8"/>
  <c r="AF15" i="16"/>
  <c r="M21" i="21"/>
  <c r="J21" i="21"/>
  <c r="M47" i="21"/>
  <c r="J47" i="21"/>
  <c r="AF174" i="16"/>
  <c r="N80" i="21"/>
  <c r="K80" i="21"/>
  <c r="V14" i="25"/>
  <c r="V9" i="25"/>
  <c r="V15" i="25"/>
  <c r="AF95" i="16"/>
  <c r="Z95" i="16"/>
  <c r="AO44" i="8"/>
  <c r="AE44" i="8"/>
  <c r="AG44" i="8"/>
  <c r="AK51" i="8"/>
  <c r="AK51" i="6"/>
  <c r="AK51" i="7"/>
  <c r="AK51" i="9"/>
  <c r="AF73" i="16"/>
  <c r="Y16" i="16"/>
  <c r="AE16" i="16"/>
  <c r="X14" i="25"/>
  <c r="X9" i="25"/>
  <c r="X15" i="25"/>
  <c r="AG9" i="9"/>
  <c r="AE9" i="9"/>
  <c r="AO9" i="9"/>
  <c r="AL43" i="8"/>
  <c r="AJ43" i="8"/>
  <c r="AM16" i="8"/>
  <c r="T16" i="8"/>
  <c r="N16" i="8"/>
  <c r="AO31" i="8"/>
  <c r="AE31" i="8"/>
  <c r="AG31" i="8"/>
  <c r="AE18" i="17"/>
  <c r="Z18" i="17"/>
  <c r="AK45" i="8"/>
  <c r="AK45" i="6"/>
  <c r="AK45" i="7"/>
  <c r="AK45" i="9"/>
  <c r="N7" i="9"/>
  <c r="T7" i="9"/>
  <c r="AM7" i="9"/>
  <c r="AF202" i="16"/>
  <c r="Z202" i="16"/>
  <c r="Z15" i="16"/>
  <c r="K15" i="21"/>
  <c r="N15" i="21"/>
  <c r="R28" i="28"/>
  <c r="AM46" i="7"/>
  <c r="U28" i="28"/>
  <c r="AL24" i="9"/>
  <c r="AJ24" i="9"/>
  <c r="N152" i="21"/>
  <c r="K152" i="21"/>
  <c r="M43" i="21"/>
  <c r="J43" i="21"/>
  <c r="AM26" i="8"/>
  <c r="T26" i="8"/>
  <c r="N26" i="8"/>
  <c r="AE8" i="17"/>
  <c r="Z8" i="17"/>
  <c r="AB69" i="23"/>
  <c r="AB17" i="23"/>
  <c r="N19" i="21"/>
  <c r="K19" i="21"/>
  <c r="AM46" i="8"/>
  <c r="T46" i="8"/>
  <c r="N46" i="8"/>
  <c r="AB60" i="23"/>
  <c r="AB8" i="23"/>
  <c r="AL22" i="8"/>
  <c r="AJ22" i="8"/>
  <c r="D49" i="5"/>
  <c r="AM53" i="7"/>
  <c r="D48" i="5"/>
  <c r="H48" i="5"/>
  <c r="AU2" i="16"/>
  <c r="AV2" i="16"/>
  <c r="N203" i="21"/>
  <c r="K203" i="21"/>
  <c r="Z61" i="16"/>
  <c r="AF61" i="16"/>
  <c r="AF211" i="16"/>
  <c r="Z211" i="16"/>
  <c r="N58" i="23"/>
  <c r="N6" i="23"/>
  <c r="Y5" i="16"/>
  <c r="AE5" i="16"/>
  <c r="Z73" i="16"/>
  <c r="K73" i="21"/>
  <c r="N73" i="21"/>
  <c r="AL31" i="9"/>
  <c r="AJ31" i="9"/>
  <c r="AP21" i="8"/>
  <c r="AF21" i="8"/>
  <c r="AC21" i="23"/>
  <c r="AC73" i="23"/>
  <c r="AL39" i="8"/>
  <c r="AJ39" i="8"/>
  <c r="AK26" i="6"/>
  <c r="AK26" i="7"/>
  <c r="AG26" i="23"/>
  <c r="AG78" i="23"/>
  <c r="N162" i="21"/>
  <c r="K162" i="21"/>
  <c r="Z67" i="16"/>
  <c r="AF67" i="16"/>
  <c r="AL17" i="9"/>
  <c r="AJ17" i="9"/>
  <c r="AO42" i="8"/>
  <c r="AE42" i="8"/>
  <c r="AG42" i="8"/>
  <c r="AO41" i="8"/>
  <c r="AE41" i="8"/>
  <c r="AB41" i="23"/>
  <c r="AB93" i="23"/>
  <c r="N206" i="21"/>
  <c r="K206" i="21"/>
  <c r="AE45" i="16"/>
  <c r="AG96" i="23"/>
  <c r="AG44" i="23"/>
  <c r="N135" i="21"/>
  <c r="K135" i="21"/>
  <c r="N65" i="23"/>
  <c r="N13" i="23"/>
  <c r="AL27" i="8"/>
  <c r="AJ27" i="8"/>
  <c r="N2" i="21"/>
  <c r="V7" i="21"/>
  <c r="AJ7" i="21"/>
  <c r="AK7" i="8"/>
  <c r="AK7" i="9"/>
  <c r="S13" i="25"/>
  <c r="S7" i="25"/>
  <c r="AF122" i="16"/>
  <c r="Z122" i="16"/>
  <c r="AP9" i="8"/>
  <c r="AF9" i="8"/>
  <c r="AC9" i="23"/>
  <c r="AC61" i="23"/>
  <c r="AF163" i="16"/>
  <c r="Z163" i="16"/>
  <c r="AE85" i="17"/>
  <c r="Z85" i="17"/>
  <c r="AL30" i="9"/>
  <c r="AJ30" i="9"/>
  <c r="AF102" i="16"/>
  <c r="Z102" i="16"/>
  <c r="AG21" i="8"/>
  <c r="N42" i="8"/>
  <c r="T42" i="8"/>
  <c r="AM42" i="8"/>
  <c r="AE6" i="16"/>
  <c r="AG85" i="23"/>
  <c r="AG33" i="23"/>
  <c r="AE64" i="17"/>
  <c r="Z64" i="17"/>
  <c r="N132" i="21"/>
  <c r="K132" i="21"/>
  <c r="Y48" i="16"/>
  <c r="AE48" i="16"/>
  <c r="N160" i="21"/>
  <c r="K160" i="21"/>
  <c r="AO50" i="8"/>
  <c r="AE50" i="8"/>
  <c r="AB50" i="23"/>
  <c r="AB102" i="23"/>
  <c r="AO17" i="8"/>
  <c r="AE17" i="8"/>
  <c r="AG17" i="8"/>
  <c r="N12" i="21"/>
  <c r="K12" i="21"/>
  <c r="AC76" i="23"/>
  <c r="AC24" i="23"/>
  <c r="AF24" i="8"/>
  <c r="AP24" i="8"/>
  <c r="AO35" i="8"/>
  <c r="AE35" i="8"/>
  <c r="AG35" i="8"/>
  <c r="AG101" i="23"/>
  <c r="AG49" i="23"/>
  <c r="AG91" i="23"/>
  <c r="AG39" i="23"/>
  <c r="AJ8" i="17"/>
  <c r="AE3" i="17"/>
  <c r="Z3" i="17"/>
  <c r="AE30" i="17"/>
  <c r="Z30" i="17"/>
  <c r="AF28" i="9"/>
  <c r="AP28" i="9"/>
  <c r="U12" i="28"/>
  <c r="AM30" i="7"/>
  <c r="R12" i="28"/>
  <c r="AF37" i="16"/>
  <c r="N22" i="8"/>
  <c r="T22" i="8"/>
  <c r="AM22" i="8"/>
  <c r="N90" i="21"/>
  <c r="K90" i="21"/>
  <c r="Z175" i="16"/>
  <c r="K175" i="21"/>
  <c r="N175" i="21"/>
  <c r="N137" i="21"/>
  <c r="K137" i="21"/>
  <c r="AM16" i="9"/>
  <c r="T16" i="9"/>
  <c r="N16" i="9"/>
  <c r="AF113" i="16"/>
  <c r="Z113" i="16"/>
  <c r="AL33" i="8"/>
  <c r="AJ33" i="8"/>
  <c r="AO13" i="8"/>
  <c r="AE13" i="8"/>
  <c r="AG13" i="8"/>
  <c r="AK20" i="6"/>
  <c r="AK20" i="7"/>
  <c r="AG20" i="23"/>
  <c r="AG72" i="23"/>
  <c r="Z65" i="16"/>
  <c r="AF65" i="16"/>
  <c r="Y45" i="16"/>
  <c r="J45" i="21"/>
  <c r="M45" i="21"/>
  <c r="AP37" i="8"/>
  <c r="AF37" i="8"/>
  <c r="AC37" i="23"/>
  <c r="AC89" i="23"/>
  <c r="Y21" i="16"/>
  <c r="AE21" i="16"/>
  <c r="AF101" i="16"/>
  <c r="Z101" i="16"/>
  <c r="AK44" i="8"/>
  <c r="AK44" i="6"/>
  <c r="AK44" i="7"/>
  <c r="AK44" i="9"/>
  <c r="AB79" i="23"/>
  <c r="AB27" i="23"/>
  <c r="AO27" i="8"/>
  <c r="AE27" i="8"/>
  <c r="AG27" i="8"/>
  <c r="AK19" i="8"/>
  <c r="AK19" i="6"/>
  <c r="AK19" i="7"/>
  <c r="AK19" i="9"/>
  <c r="AF119" i="16"/>
  <c r="Z119" i="16"/>
  <c r="AL7" i="8"/>
  <c r="AJ7" i="8"/>
  <c r="AK7" i="7"/>
  <c r="AG7" i="23"/>
  <c r="AG59" i="23"/>
  <c r="Z174" i="16"/>
  <c r="K174" i="21"/>
  <c r="N174" i="21"/>
  <c r="AE67" i="17"/>
  <c r="Z67" i="17"/>
  <c r="AP32" i="8"/>
  <c r="AF32" i="8"/>
  <c r="AC32" i="23"/>
  <c r="AC84" i="23"/>
  <c r="AO21" i="8"/>
  <c r="AE21" i="8"/>
  <c r="AB21" i="23"/>
  <c r="AB73" i="23"/>
  <c r="AE91" i="17"/>
  <c r="Z91" i="17"/>
  <c r="AE36" i="17"/>
  <c r="Z36" i="17"/>
  <c r="N11" i="9"/>
  <c r="T11" i="9"/>
  <c r="AM11" i="9"/>
  <c r="Z12" i="16"/>
  <c r="AF12" i="16"/>
  <c r="Y6" i="16"/>
  <c r="J6" i="21"/>
  <c r="M6" i="21"/>
  <c r="N80" i="23"/>
  <c r="N28" i="23"/>
  <c r="AG73" i="23"/>
  <c r="AG21" i="23"/>
  <c r="N177" i="21"/>
  <c r="K177" i="21"/>
  <c r="AL53" i="7"/>
  <c r="AB82" i="23"/>
  <c r="AB30" i="23"/>
  <c r="AF26" i="16"/>
  <c r="AF27" i="16"/>
  <c r="AF140" i="16"/>
  <c r="Z140" i="16"/>
  <c r="AE31" i="17"/>
  <c r="Z31" i="17"/>
  <c r="AC72" i="23"/>
  <c r="AC20" i="23"/>
  <c r="AF20" i="8"/>
  <c r="AP20" i="8"/>
  <c r="AL21" i="9"/>
  <c r="AJ21" i="9"/>
  <c r="AO8" i="8"/>
  <c r="AE8" i="8"/>
  <c r="AG8" i="8"/>
  <c r="AF100" i="23"/>
  <c r="AF48" i="23"/>
  <c r="AF53" i="9"/>
  <c r="AF58" i="16"/>
  <c r="AG79" i="23"/>
  <c r="AG27" i="23"/>
  <c r="N41" i="9"/>
  <c r="T41" i="9"/>
  <c r="AM41" i="9"/>
  <c r="AL29" i="9"/>
  <c r="AJ29" i="9"/>
  <c r="Z37" i="16"/>
  <c r="K37" i="21"/>
  <c r="N37" i="21"/>
  <c r="Z58" i="16"/>
  <c r="K58" i="21"/>
  <c r="N58" i="21"/>
  <c r="AL49" i="7"/>
  <c r="AE38" i="17"/>
  <c r="Z38" i="17"/>
  <c r="N184" i="21"/>
  <c r="K184" i="21"/>
  <c r="AF81" i="16"/>
  <c r="Z81" i="16"/>
  <c r="N4" i="21"/>
  <c r="K4" i="21"/>
  <c r="AG82" i="23"/>
  <c r="AG30" i="23"/>
  <c r="AL41" i="9"/>
  <c r="AJ41" i="9"/>
  <c r="AF132" i="16"/>
  <c r="Z132" i="16"/>
  <c r="N13" i="8"/>
  <c r="T13" i="8"/>
  <c r="AM13" i="8"/>
  <c r="Z177" i="16"/>
  <c r="AF177" i="16"/>
  <c r="Z27" i="16"/>
  <c r="K27" i="21"/>
  <c r="N27" i="21"/>
  <c r="AL13" i="8"/>
  <c r="AJ13" i="8"/>
  <c r="AF207" i="16"/>
  <c r="Z207" i="16"/>
  <c r="AM34" i="8"/>
  <c r="T34" i="8"/>
  <c r="N34" i="8"/>
  <c r="AB75" i="23"/>
  <c r="AB23" i="23"/>
  <c r="AF98" i="23"/>
  <c r="AF46" i="23"/>
  <c r="AE55" i="17"/>
  <c r="Z55" i="17"/>
  <c r="Z60" i="16"/>
  <c r="AF60" i="16"/>
  <c r="AE40" i="17"/>
  <c r="Z40" i="17"/>
  <c r="AJ49" i="7"/>
  <c r="AF49" i="23"/>
  <c r="AF101" i="23"/>
  <c r="N117" i="21"/>
  <c r="K117" i="21"/>
  <c r="AF66" i="23"/>
  <c r="AF14" i="23"/>
  <c r="AE4" i="17"/>
  <c r="Z4" i="17"/>
  <c r="AM10" i="8"/>
  <c r="T10" i="8"/>
  <c r="N10" i="8"/>
  <c r="AF34" i="9"/>
  <c r="AP34" i="9"/>
  <c r="AL40" i="8"/>
  <c r="AJ40" i="8"/>
  <c r="AK32" i="6"/>
  <c r="AK32" i="7"/>
  <c r="AG32" i="23"/>
  <c r="AG84" i="23"/>
  <c r="AF151" i="16"/>
  <c r="Z151" i="16"/>
  <c r="AL32" i="9"/>
  <c r="AJ32" i="9"/>
  <c r="N40" i="8"/>
  <c r="T40" i="8"/>
  <c r="AM40" i="8"/>
  <c r="Z221" i="16"/>
  <c r="K221" i="21"/>
  <c r="N221" i="21"/>
  <c r="AL53" i="9"/>
  <c r="Y7" i="16"/>
  <c r="AE7" i="16"/>
  <c r="AF218" i="16"/>
  <c r="AF5" i="23"/>
  <c r="AF57" i="23"/>
  <c r="V11" i="25"/>
  <c r="Z26" i="16"/>
  <c r="K26" i="21"/>
  <c r="N26" i="21"/>
  <c r="AF187" i="16"/>
  <c r="Z19" i="16"/>
  <c r="AF19" i="16"/>
  <c r="AF99" i="16"/>
  <c r="Z99" i="16"/>
  <c r="AM27" i="9"/>
  <c r="T27" i="9"/>
  <c r="N27" i="9"/>
  <c r="AE51" i="17"/>
  <c r="Z51" i="17"/>
  <c r="AL4" i="16"/>
  <c r="AK4" i="16"/>
  <c r="Z218" i="16"/>
  <c r="K218" i="21"/>
  <c r="N218" i="21"/>
  <c r="AF167" i="16"/>
  <c r="AF50" i="16"/>
  <c r="AC60" i="23"/>
  <c r="AC8" i="23"/>
  <c r="AF8" i="8"/>
  <c r="AP8" i="8"/>
  <c r="AF110" i="16"/>
  <c r="Z110" i="16"/>
  <c r="AE37" i="17"/>
  <c r="Z37" i="17"/>
  <c r="Z184" i="16"/>
  <c r="AF184" i="16"/>
  <c r="AG9" i="21"/>
  <c r="Y9" i="21"/>
  <c r="S9" i="21"/>
  <c r="AE99" i="17"/>
  <c r="Z99" i="17"/>
  <c r="N121" i="21"/>
  <c r="K121" i="21"/>
  <c r="AF23" i="9"/>
  <c r="AP23" i="9"/>
  <c r="N76" i="23"/>
  <c r="N24" i="23"/>
  <c r="AG47" i="8"/>
  <c r="AG22" i="9"/>
  <c r="AE22" i="9"/>
  <c r="AO22" i="9"/>
  <c r="AF92" i="23"/>
  <c r="AF40" i="23"/>
  <c r="AC101" i="23"/>
  <c r="AC49" i="23"/>
  <c r="AF49" i="8"/>
  <c r="AP49" i="8"/>
  <c r="AF86" i="16"/>
  <c r="Z86" i="16"/>
  <c r="Z187" i="16"/>
  <c r="K187" i="21"/>
  <c r="N187" i="21"/>
  <c r="AO18" i="8"/>
  <c r="AE18" i="8"/>
  <c r="AG18" i="8"/>
  <c r="M44" i="21"/>
  <c r="J44" i="21"/>
  <c r="N19" i="9"/>
  <c r="T19" i="9"/>
  <c r="AM19" i="9"/>
  <c r="AG37" i="9"/>
  <c r="AE37" i="9"/>
  <c r="AO37" i="9"/>
  <c r="N20" i="21"/>
  <c r="K20" i="21"/>
  <c r="N67" i="23"/>
  <c r="N15" i="23"/>
  <c r="Z167" i="16"/>
  <c r="K167" i="21"/>
  <c r="N167" i="21"/>
  <c r="AE28" i="17"/>
  <c r="Z28" i="17"/>
  <c r="AG61" i="23"/>
  <c r="AG9" i="23"/>
  <c r="Z50" i="16"/>
  <c r="K50" i="21"/>
  <c r="N50" i="21"/>
  <c r="AG81" i="23"/>
  <c r="AG29" i="23"/>
  <c r="AO20" i="9"/>
  <c r="AE20" i="9"/>
  <c r="AG20" i="9"/>
  <c r="AL11" i="9"/>
  <c r="AJ11" i="9"/>
  <c r="AM24" i="8"/>
  <c r="T24" i="8"/>
  <c r="N24" i="8"/>
  <c r="AL50" i="8"/>
  <c r="AJ50" i="8"/>
  <c r="N98" i="21"/>
  <c r="K98" i="21"/>
  <c r="AF172" i="16"/>
  <c r="AM8" i="9"/>
  <c r="T8" i="9"/>
  <c r="N8" i="9"/>
  <c r="N113" i="21"/>
  <c r="K113" i="21"/>
  <c r="AL36" i="9"/>
  <c r="AJ36" i="9"/>
  <c r="AE98" i="17"/>
  <c r="Z98" i="17"/>
  <c r="N83" i="23"/>
  <c r="N31" i="23"/>
  <c r="N103" i="21"/>
  <c r="K103" i="21"/>
  <c r="N85" i="23"/>
  <c r="N33" i="23"/>
  <c r="AB10" i="21"/>
  <c r="AL7" i="16"/>
  <c r="AK7" i="16"/>
  <c r="N25" i="9"/>
  <c r="T25" i="9"/>
  <c r="AM25" i="9"/>
  <c r="Z170" i="16"/>
  <c r="AF170" i="16"/>
  <c r="N102" i="23"/>
  <c r="N50" i="23"/>
  <c r="AE56" i="17"/>
  <c r="Z56" i="17"/>
  <c r="Y47" i="16"/>
  <c r="AE47" i="16"/>
  <c r="AP15" i="8"/>
  <c r="AF15" i="8"/>
  <c r="AC15" i="23"/>
  <c r="AC67" i="23"/>
  <c r="AK39" i="9"/>
  <c r="AK39" i="6"/>
  <c r="AK39" i="7"/>
  <c r="AK39" i="8"/>
  <c r="N139" i="21"/>
  <c r="K139" i="21"/>
  <c r="N28" i="9"/>
  <c r="T28" i="9"/>
  <c r="AM28" i="9"/>
  <c r="AF188" i="16"/>
  <c r="AJ21" i="7"/>
  <c r="AL21" i="7"/>
  <c r="AF157" i="16"/>
  <c r="Z157" i="16"/>
  <c r="Z23" i="16"/>
  <c r="AF23" i="16"/>
  <c r="Y43" i="16"/>
  <c r="AE43" i="16"/>
  <c r="AF79" i="23"/>
  <c r="AF27" i="23"/>
  <c r="AO55" i="9"/>
  <c r="AO53" i="9"/>
  <c r="AF84" i="23"/>
  <c r="AF32" i="23"/>
  <c r="AC99" i="23"/>
  <c r="AP47" i="8"/>
  <c r="AF47" i="8"/>
  <c r="AC47" i="23"/>
  <c r="N192" i="21"/>
  <c r="K192" i="21"/>
  <c r="AE83" i="17"/>
  <c r="Z83" i="17"/>
  <c r="AC90" i="23"/>
  <c r="AP38" i="8"/>
  <c r="AF38" i="8"/>
  <c r="AC38" i="23"/>
  <c r="AL11" i="8"/>
  <c r="AJ11" i="8"/>
  <c r="Y44" i="16"/>
  <c r="AE44" i="16"/>
  <c r="AG60" i="23"/>
  <c r="AG8" i="23"/>
  <c r="AL51" i="7"/>
  <c r="AK29" i="8"/>
  <c r="AK29" i="6"/>
  <c r="AK29" i="7"/>
  <c r="AK29" i="9"/>
  <c r="N128" i="21"/>
  <c r="K128" i="21"/>
  <c r="N82" i="21"/>
  <c r="K82" i="21"/>
  <c r="F14" i="28"/>
  <c r="AM14" i="7"/>
  <c r="I14" i="28"/>
  <c r="AF115" i="16"/>
  <c r="Z115" i="16"/>
  <c r="AF83" i="16"/>
  <c r="Z83" i="16"/>
  <c r="N93" i="21"/>
  <c r="K93" i="21"/>
  <c r="AF125" i="16"/>
  <c r="Z125" i="16"/>
  <c r="AF24" i="9"/>
  <c r="AP24" i="9"/>
  <c r="AF39" i="9"/>
  <c r="AP39" i="9"/>
  <c r="AL19" i="7"/>
  <c r="AF136" i="16"/>
  <c r="Z136" i="16"/>
  <c r="AF58" i="23"/>
  <c r="AF6" i="23"/>
  <c r="AF61" i="23"/>
  <c r="AF9" i="23"/>
  <c r="AK40" i="8"/>
  <c r="AK40" i="9"/>
  <c r="AJ58" i="7"/>
  <c r="AJ53" i="7"/>
  <c r="N213" i="21"/>
  <c r="K213" i="21"/>
  <c r="Z192" i="16"/>
  <c r="AF192" i="16"/>
  <c r="U8" i="28"/>
  <c r="AM25" i="7"/>
  <c r="R8" i="28"/>
  <c r="U23" i="28"/>
  <c r="AM39" i="7"/>
  <c r="R23" i="28"/>
  <c r="AK21" i="9"/>
  <c r="AK21" i="6"/>
  <c r="AK21" i="7"/>
  <c r="AK21" i="8"/>
  <c r="AJ51" i="9"/>
  <c r="AL51" i="9"/>
  <c r="AE88" i="17"/>
  <c r="Z88" i="17"/>
  <c r="AF2" i="16"/>
  <c r="AB7" i="21"/>
  <c r="AJ19" i="9"/>
  <c r="AL19" i="9"/>
  <c r="N31" i="8"/>
  <c r="T31" i="8"/>
  <c r="AM31" i="8"/>
  <c r="N27" i="8"/>
  <c r="T27" i="8"/>
  <c r="AM27" i="8"/>
  <c r="AJ51" i="7"/>
  <c r="AF51" i="23"/>
  <c r="AF103" i="23"/>
  <c r="N133" i="21"/>
  <c r="K133" i="21"/>
  <c r="AL15" i="8"/>
  <c r="AJ15" i="8"/>
  <c r="AK8" i="9"/>
  <c r="AK8" i="6"/>
  <c r="AK8" i="7"/>
  <c r="AK8" i="8"/>
  <c r="AK9" i="9"/>
  <c r="AK9" i="7"/>
  <c r="AK9" i="8"/>
  <c r="Z172" i="16"/>
  <c r="K172" i="21"/>
  <c r="N172" i="21"/>
  <c r="AK22" i="8"/>
  <c r="AK22" i="9"/>
  <c r="AL41" i="7"/>
  <c r="Z58" i="17"/>
  <c r="AE58" i="17"/>
  <c r="AJ7" i="17"/>
  <c r="AF26" i="9"/>
  <c r="AP26" i="9"/>
  <c r="N81" i="21"/>
  <c r="K81" i="21"/>
  <c r="AF129" i="16"/>
  <c r="Z129" i="16"/>
  <c r="AB92" i="23"/>
  <c r="AB40" i="23"/>
  <c r="AF156" i="16"/>
  <c r="Z156" i="16"/>
  <c r="AF12" i="9"/>
  <c r="AP12" i="9"/>
  <c r="AE11" i="17"/>
  <c r="Z11" i="17"/>
  <c r="N7" i="21"/>
  <c r="K7" i="21"/>
  <c r="AP17" i="8"/>
  <c r="AF17" i="8"/>
  <c r="AC17" i="23"/>
  <c r="AC69" i="23"/>
  <c r="N30" i="8"/>
  <c r="T30" i="8"/>
  <c r="AM30" i="8"/>
  <c r="AF198" i="16"/>
  <c r="AV6" i="16"/>
  <c r="AU6" i="16"/>
  <c r="AL25" i="8"/>
  <c r="AJ25" i="8"/>
  <c r="AG63" i="23"/>
  <c r="AG11" i="23"/>
  <c r="N125" i="21"/>
  <c r="K125" i="21"/>
  <c r="AK46" i="9"/>
  <c r="AK46" i="6"/>
  <c r="AK46" i="7"/>
  <c r="AK46" i="8"/>
  <c r="AB62" i="23"/>
  <c r="AB10" i="23"/>
  <c r="Z7" i="16"/>
  <c r="AF7" i="16"/>
  <c r="AO23" i="8"/>
  <c r="AE23" i="8"/>
  <c r="AG23" i="8"/>
  <c r="N56" i="21"/>
  <c r="K56" i="21"/>
  <c r="AO37" i="8"/>
  <c r="AE37" i="8"/>
  <c r="AG37" i="8"/>
  <c r="AO47" i="8"/>
  <c r="AE47" i="8"/>
  <c r="AB47" i="23"/>
  <c r="AB99" i="23"/>
  <c r="N98" i="23"/>
  <c r="N46" i="23"/>
  <c r="AF13" i="9"/>
  <c r="AP13" i="9"/>
  <c r="AO32" i="9"/>
  <c r="AE32" i="9"/>
  <c r="AG32" i="9"/>
  <c r="AF186" i="16"/>
  <c r="U17" i="28"/>
  <c r="AM34" i="7"/>
  <c r="R17" i="28"/>
  <c r="AJ19" i="7"/>
  <c r="AF19" i="23"/>
  <c r="AF71" i="23"/>
  <c r="N57" i="21"/>
  <c r="K57" i="21"/>
  <c r="AG21" i="9"/>
  <c r="AE21" i="9"/>
  <c r="AO21" i="9"/>
  <c r="AG87" i="23"/>
  <c r="AG35" i="23"/>
  <c r="AG75" i="23"/>
  <c r="AG23" i="23"/>
  <c r="AF84" i="16"/>
  <c r="Z84" i="16"/>
  <c r="N66" i="21"/>
  <c r="K66" i="21"/>
  <c r="Z126" i="16"/>
  <c r="AF126" i="16"/>
  <c r="AU4" i="16"/>
  <c r="AV4" i="16"/>
  <c r="N11" i="23"/>
  <c r="N63" i="23"/>
  <c r="AJ11" i="21"/>
  <c r="V11" i="21"/>
  <c r="N166" i="21"/>
  <c r="N76" i="21"/>
  <c r="K76" i="21"/>
  <c r="S11" i="25"/>
  <c r="AM51" i="9"/>
  <c r="T51" i="9"/>
  <c r="N51" i="9"/>
  <c r="AF89" i="23"/>
  <c r="AF37" i="23"/>
  <c r="Z186" i="16"/>
  <c r="K186" i="21"/>
  <c r="N186" i="21"/>
  <c r="AF85" i="23"/>
  <c r="AF33" i="23"/>
  <c r="N37" i="9"/>
  <c r="T37" i="9"/>
  <c r="AM37" i="9"/>
  <c r="AG14" i="9"/>
  <c r="AE14" i="9"/>
  <c r="AO14" i="9"/>
  <c r="N8" i="21"/>
  <c r="K8" i="21"/>
  <c r="AL34" i="7"/>
  <c r="T35" i="28"/>
  <c r="AM16" i="7"/>
  <c r="Q35" i="28"/>
  <c r="AL50" i="9"/>
  <c r="AJ50" i="9"/>
  <c r="N100" i="23"/>
  <c r="N48" i="23"/>
  <c r="U33" i="28"/>
  <c r="AM51" i="7"/>
  <c r="R33" i="28"/>
  <c r="AE24" i="17"/>
  <c r="Z24" i="17"/>
  <c r="N71" i="23"/>
  <c r="N19" i="23"/>
  <c r="N77" i="23"/>
  <c r="N25" i="23"/>
  <c r="AF98" i="16"/>
  <c r="Z98" i="16"/>
  <c r="AF147" i="16"/>
  <c r="Z147" i="16"/>
  <c r="N21" i="21"/>
  <c r="K21" i="21"/>
  <c r="AL18" i="9"/>
  <c r="AJ18" i="9"/>
  <c r="AF35" i="9"/>
  <c r="AP35" i="9"/>
  <c r="N17" i="21"/>
  <c r="K17" i="21"/>
  <c r="AE14" i="17"/>
  <c r="Z14" i="17"/>
  <c r="AC82" i="23"/>
  <c r="AP30" i="8"/>
  <c r="AF30" i="8"/>
  <c r="AC30" i="23"/>
  <c r="AE81" i="17"/>
  <c r="Z81" i="17"/>
  <c r="AC85" i="23"/>
  <c r="AC33" i="23"/>
  <c r="AF33" i="8"/>
  <c r="AP33" i="8"/>
  <c r="N101" i="21"/>
  <c r="K101" i="21"/>
  <c r="N119" i="21"/>
  <c r="K119" i="21"/>
  <c r="AF165" i="16"/>
  <c r="Z165" i="16"/>
  <c r="AJ34" i="7"/>
  <c r="AJ34" i="9"/>
  <c r="AL34" i="9"/>
  <c r="N61" i="23"/>
  <c r="N9" i="23"/>
  <c r="AG6" i="9"/>
  <c r="AE6" i="9"/>
  <c r="AO6" i="9"/>
  <c r="AE97" i="17"/>
  <c r="Z97" i="17"/>
  <c r="N18" i="21"/>
  <c r="K18" i="21"/>
  <c r="AM50" i="8"/>
  <c r="T50" i="8"/>
  <c r="N50" i="8"/>
  <c r="AB85" i="23"/>
  <c r="AB33" i="23"/>
  <c r="AE4" i="16"/>
  <c r="Y4" i="16"/>
  <c r="J4" i="21"/>
  <c r="M4" i="21"/>
  <c r="AF87" i="23"/>
  <c r="AF35" i="23"/>
  <c r="Z56" i="16"/>
  <c r="AF56" i="16"/>
  <c r="AG46" i="8"/>
  <c r="AK40" i="6"/>
  <c r="AK40" i="7"/>
  <c r="AG40" i="23"/>
  <c r="AG92" i="23"/>
  <c r="AF134" i="16"/>
  <c r="Z134" i="16"/>
  <c r="Z188" i="16"/>
  <c r="K188" i="21"/>
  <c r="N188" i="21"/>
  <c r="N211" i="21"/>
  <c r="K211" i="21"/>
  <c r="AJ41" i="7"/>
  <c r="AF41" i="23"/>
  <c r="AF93" i="23"/>
  <c r="AE50" i="17"/>
  <c r="Z50" i="17"/>
  <c r="AC62" i="23"/>
  <c r="AC10" i="23"/>
  <c r="AF10" i="8"/>
  <c r="AP10" i="8"/>
  <c r="AB76" i="23"/>
  <c r="AB24" i="23"/>
  <c r="AO10" i="8"/>
  <c r="AE10" i="8"/>
  <c r="AG10" i="8"/>
  <c r="AC68" i="23"/>
  <c r="AC16" i="23"/>
  <c r="AF16" i="8"/>
  <c r="AP16" i="8"/>
  <c r="AE52" i="17"/>
  <c r="Z52" i="17"/>
  <c r="AL3" i="16"/>
  <c r="AF114" i="16"/>
  <c r="Z114" i="16"/>
  <c r="N118" i="21"/>
  <c r="K118" i="21"/>
  <c r="Z18" i="16"/>
  <c r="AF18" i="16"/>
  <c r="AF14" i="9"/>
  <c r="AP14" i="9"/>
  <c r="AE10" i="17"/>
  <c r="Z10" i="17"/>
  <c r="AK23" i="8"/>
  <c r="AK23" i="6"/>
  <c r="AK23" i="7"/>
  <c r="AK23" i="9"/>
  <c r="AL9" i="16"/>
  <c r="AK9" i="16"/>
  <c r="AL6" i="16"/>
  <c r="AK6" i="16"/>
  <c r="N34" i="21"/>
  <c r="K34" i="21"/>
  <c r="AO30" i="8"/>
  <c r="AE30" i="8"/>
  <c r="AG30" i="8"/>
  <c r="AM32" i="9"/>
  <c r="T32" i="9"/>
  <c r="N32" i="9"/>
  <c r="AO46" i="8"/>
  <c r="AE46" i="8"/>
  <c r="AB46" i="23"/>
  <c r="AB98" i="23"/>
  <c r="N163" i="21"/>
  <c r="K163" i="21"/>
  <c r="AE78" i="17"/>
  <c r="Z78" i="17"/>
  <c r="AM47" i="8"/>
  <c r="N47" i="8"/>
  <c r="T47" i="8"/>
  <c r="AG22" i="8"/>
  <c r="AF144" i="16"/>
  <c r="Z144" i="16"/>
  <c r="AL38" i="9"/>
  <c r="AJ38" i="9"/>
  <c r="AK49" i="9"/>
  <c r="AK49" i="6"/>
  <c r="AK49" i="7"/>
  <c r="AK49" i="8"/>
  <c r="D14" i="25"/>
  <c r="D9" i="25"/>
  <c r="D15" i="25"/>
  <c r="AK22" i="6"/>
  <c r="AK22" i="7"/>
  <c r="AG22" i="23"/>
  <c r="AG74" i="23"/>
  <c r="N202" i="21"/>
  <c r="K202" i="21"/>
  <c r="N38" i="9"/>
  <c r="T38" i="9"/>
  <c r="AM38" i="9"/>
  <c r="AF72" i="23"/>
  <c r="AF20" i="23"/>
  <c r="T34" i="28"/>
  <c r="AM15" i="7"/>
  <c r="Q34" i="28"/>
  <c r="AK27" i="9"/>
  <c r="AK27" i="6"/>
  <c r="AK27" i="7"/>
  <c r="AK27" i="8"/>
  <c r="AL42" i="8"/>
  <c r="AJ42" i="8"/>
  <c r="AG16" i="8"/>
  <c r="AF59" i="16"/>
  <c r="AO40" i="8"/>
  <c r="AE40" i="8"/>
  <c r="AG40" i="8"/>
  <c r="N82" i="23"/>
  <c r="N30" i="23"/>
  <c r="N30" i="9"/>
  <c r="T30" i="9"/>
  <c r="AM30" i="9"/>
  <c r="Z198" i="16"/>
  <c r="K198" i="21"/>
  <c r="N198" i="21"/>
  <c r="AE72" i="17"/>
  <c r="Z72" i="17"/>
  <c r="AK6" i="9"/>
  <c r="AK6" i="8"/>
  <c r="AL20" i="7"/>
  <c r="AF51" i="16"/>
  <c r="AF68" i="23"/>
  <c r="AF16" i="23"/>
  <c r="AL12" i="8"/>
  <c r="AJ12" i="8"/>
  <c r="H15" i="28"/>
  <c r="AM9" i="7"/>
  <c r="E15" i="28"/>
  <c r="AO24" i="8"/>
  <c r="AE24" i="8"/>
  <c r="AG24" i="8"/>
  <c r="AE25" i="17"/>
  <c r="Z25" i="17"/>
  <c r="AB90" i="23"/>
  <c r="AB38" i="23"/>
  <c r="N171" i="21"/>
  <c r="K171" i="21"/>
  <c r="AL43" i="7"/>
  <c r="AL27" i="7"/>
  <c r="AL40" i="9"/>
  <c r="AJ40" i="9"/>
  <c r="Z20" i="16"/>
  <c r="AF20" i="16"/>
  <c r="AL28" i="9"/>
  <c r="AJ28" i="9"/>
  <c r="N116" i="21"/>
  <c r="K116" i="21"/>
  <c r="AG51" i="8"/>
  <c r="N79" i="23"/>
  <c r="N27" i="23"/>
  <c r="AG13" i="9"/>
  <c r="AE13" i="9"/>
  <c r="AO13" i="9"/>
  <c r="W13" i="25"/>
  <c r="W7" i="25"/>
  <c r="AF203" i="16"/>
  <c r="Z203" i="16"/>
  <c r="AB59" i="23"/>
  <c r="AB7" i="23"/>
  <c r="N124" i="21"/>
  <c r="K124" i="21"/>
  <c r="AG40" i="9"/>
  <c r="AE40" i="9"/>
  <c r="AO40" i="9"/>
  <c r="AJ53" i="9"/>
  <c r="AL5" i="9"/>
  <c r="AJ5" i="9"/>
  <c r="AE63" i="17"/>
  <c r="Z63" i="17"/>
  <c r="AO16" i="8"/>
  <c r="AE16" i="8"/>
  <c r="AB16" i="23"/>
  <c r="AB68" i="23"/>
  <c r="AL39" i="9"/>
  <c r="AJ39" i="9"/>
  <c r="Z59" i="16"/>
  <c r="K59" i="21"/>
  <c r="N59" i="21"/>
  <c r="AK48" i="8"/>
  <c r="AK48" i="9"/>
  <c r="AF118" i="16"/>
  <c r="Z118" i="16"/>
  <c r="L67" i="6"/>
  <c r="AV5" i="16"/>
  <c r="AU5" i="16"/>
  <c r="AK48" i="6"/>
  <c r="AK48" i="7"/>
  <c r="AG48" i="23"/>
  <c r="AG100" i="23"/>
  <c r="AK6" i="7"/>
  <c r="AG6" i="23"/>
  <c r="AG58" i="23"/>
  <c r="N123" i="21"/>
  <c r="K123" i="21"/>
  <c r="AF204" i="16"/>
  <c r="Z204" i="16"/>
  <c r="AP26" i="8"/>
  <c r="AF26" i="8"/>
  <c r="AC26" i="23"/>
  <c r="AC78" i="23"/>
  <c r="AJ20" i="7"/>
  <c r="AJ20" i="8"/>
  <c r="AL20" i="8"/>
  <c r="AL26" i="9"/>
  <c r="AJ26" i="9"/>
  <c r="Z51" i="16"/>
  <c r="K51" i="21"/>
  <c r="N51" i="21"/>
  <c r="N43" i="9"/>
  <c r="T43" i="9"/>
  <c r="AM43" i="9"/>
  <c r="U15" i="28"/>
  <c r="R25" i="28"/>
  <c r="R20" i="28"/>
  <c r="U20" i="28"/>
  <c r="U25" i="28"/>
  <c r="AM42" i="7"/>
  <c r="R15" i="28"/>
  <c r="AF160" i="16"/>
  <c r="Z160" i="16"/>
  <c r="AP39" i="8"/>
  <c r="AF39" i="8"/>
  <c r="AC39" i="23"/>
  <c r="AC91" i="23"/>
  <c r="AO16" i="9"/>
  <c r="AE16" i="9"/>
  <c r="AG16" i="9"/>
  <c r="AC103" i="23"/>
  <c r="AP51" i="8"/>
  <c r="AF51" i="8"/>
  <c r="AC51" i="23"/>
  <c r="AF123" i="16"/>
  <c r="Z123" i="16"/>
  <c r="Z171" i="16"/>
  <c r="AF171" i="16"/>
  <c r="AL15" i="9"/>
  <c r="AJ15" i="9"/>
  <c r="AJ43" i="7"/>
  <c r="AJ43" i="9"/>
  <c r="AL43" i="9"/>
  <c r="AJ27" i="7"/>
  <c r="AJ27" i="9"/>
  <c r="AL27" i="9"/>
  <c r="AF33" i="9"/>
  <c r="AP33" i="9"/>
  <c r="M40" i="21"/>
  <c r="J40" i="21"/>
  <c r="Z57" i="16"/>
  <c r="AF57" i="16"/>
  <c r="Z21" i="16"/>
  <c r="AF21" i="16"/>
  <c r="N222" i="21"/>
  <c r="K222" i="21"/>
  <c r="M15" i="21"/>
  <c r="J15" i="21"/>
  <c r="N158" i="21"/>
  <c r="K158" i="21"/>
  <c r="AO51" i="8"/>
  <c r="AE51" i="8"/>
  <c r="AB51" i="23"/>
  <c r="AB103" i="23"/>
  <c r="AK33" i="8"/>
  <c r="AK33" i="6"/>
  <c r="AK33" i="7"/>
  <c r="AK33" i="9"/>
  <c r="AL17" i="8"/>
  <c r="AJ17" i="8"/>
  <c r="N53" i="9"/>
  <c r="AM8" i="8"/>
  <c r="N8" i="8"/>
  <c r="T8" i="8"/>
  <c r="AG88" i="23"/>
  <c r="AG36" i="23"/>
  <c r="AC102" i="23"/>
  <c r="AC50" i="23"/>
  <c r="AF50" i="8"/>
  <c r="AP50" i="8"/>
  <c r="N89" i="23"/>
  <c r="N37" i="23"/>
  <c r="AF214" i="16"/>
  <c r="AB12" i="21"/>
  <c r="AK35" i="8"/>
  <c r="AK35" i="6"/>
  <c r="AK35" i="7"/>
  <c r="AK35" i="9"/>
  <c r="N5" i="9"/>
  <c r="T5" i="9"/>
  <c r="AM5" i="9"/>
  <c r="T53" i="9"/>
  <c r="N41" i="8"/>
  <c r="T41" i="8"/>
  <c r="AM41" i="8"/>
  <c r="AE59" i="17"/>
  <c r="Z59" i="17"/>
  <c r="Z222" i="16"/>
  <c r="AF222" i="16"/>
  <c r="Y15" i="16"/>
  <c r="AE15" i="16"/>
  <c r="Z66" i="16"/>
  <c r="AF66" i="16"/>
  <c r="Y40" i="16"/>
  <c r="AE40" i="16"/>
  <c r="AO33" i="8"/>
  <c r="AE33" i="8"/>
  <c r="AG33" i="8"/>
  <c r="AF19" i="9"/>
  <c r="AP19" i="9"/>
  <c r="R29" i="28"/>
  <c r="AM47" i="7"/>
  <c r="U29" i="28"/>
  <c r="AL31" i="7"/>
  <c r="AG31" i="9"/>
  <c r="AE31" i="9"/>
  <c r="AO31" i="9"/>
  <c r="AF97" i="23"/>
  <c r="AF45" i="23"/>
  <c r="R14" i="28"/>
  <c r="AM32" i="7"/>
  <c r="U14" i="28"/>
  <c r="N85" i="21"/>
  <c r="K85" i="21"/>
  <c r="N141" i="21"/>
  <c r="K141" i="21"/>
  <c r="AL8" i="7"/>
  <c r="N6" i="21"/>
  <c r="K6" i="21"/>
  <c r="N100" i="21"/>
  <c r="K100" i="21"/>
  <c r="AJ31" i="8"/>
  <c r="AL31" i="8"/>
  <c r="AL6" i="8"/>
  <c r="AJ6" i="8"/>
  <c r="N212" i="21"/>
  <c r="K212" i="21"/>
  <c r="AF108" i="16"/>
  <c r="Z108" i="16"/>
  <c r="AO46" i="9"/>
  <c r="AE46" i="9"/>
  <c r="AG46" i="9"/>
  <c r="N97" i="23"/>
  <c r="N45" i="23"/>
  <c r="AF22" i="9"/>
  <c r="AP22" i="9"/>
  <c r="L69" i="6"/>
  <c r="AF77" i="23"/>
  <c r="AF25" i="23"/>
  <c r="AK36" i="9"/>
  <c r="AK36" i="6"/>
  <c r="AK36" i="7"/>
  <c r="AK36" i="8"/>
  <c r="AF96" i="16"/>
  <c r="Z96" i="16"/>
  <c r="N155" i="21"/>
  <c r="K155" i="21"/>
  <c r="AL45" i="9"/>
  <c r="AJ45" i="9"/>
  <c r="N79" i="21"/>
  <c r="K79" i="21"/>
  <c r="AE92" i="17"/>
  <c r="Z92" i="17"/>
  <c r="AM49" i="8"/>
  <c r="T49" i="8"/>
  <c r="N49" i="8"/>
  <c r="AG70" i="23"/>
  <c r="AG18" i="23"/>
  <c r="AK14" i="9"/>
  <c r="AK14" i="8"/>
  <c r="N87" i="23"/>
  <c r="N35" i="23"/>
  <c r="M2" i="21"/>
  <c r="U7" i="21"/>
  <c r="AI7" i="21"/>
  <c r="AO22" i="8"/>
  <c r="AE22" i="8"/>
  <c r="AB22" i="23"/>
  <c r="AB74" i="23"/>
  <c r="N28" i="21"/>
  <c r="K28" i="21"/>
  <c r="AF96" i="23"/>
  <c r="AF44" i="23"/>
  <c r="AK58" i="7"/>
  <c r="AK53" i="7"/>
  <c r="AJ8" i="7"/>
  <c r="AF8" i="23"/>
  <c r="AF60" i="23"/>
  <c r="N5" i="21"/>
  <c r="K5" i="21"/>
  <c r="AE32" i="17"/>
  <c r="Z32" i="17"/>
  <c r="AG12" i="9"/>
  <c r="AE12" i="9"/>
  <c r="AO12" i="9"/>
  <c r="Z34" i="16"/>
  <c r="AF34" i="16"/>
  <c r="E49" i="5"/>
  <c r="E48" i="5"/>
  <c r="AF111" i="16"/>
  <c r="Z111" i="16"/>
  <c r="AF141" i="16"/>
  <c r="Z141" i="16"/>
  <c r="AE12" i="17"/>
  <c r="Z12" i="17"/>
  <c r="AE66" i="17"/>
  <c r="Z66" i="17"/>
  <c r="AF9" i="9"/>
  <c r="AP9" i="9"/>
  <c r="AF81" i="23"/>
  <c r="AF29" i="23"/>
  <c r="AF48" i="9"/>
  <c r="AP48" i="9"/>
  <c r="AF16" i="16"/>
  <c r="N69" i="23"/>
  <c r="N17" i="23"/>
  <c r="AK53" i="9"/>
  <c r="AF70" i="16"/>
  <c r="AF75" i="16"/>
  <c r="AE93" i="17"/>
  <c r="Z93" i="17"/>
  <c r="AF27" i="9"/>
  <c r="AP27" i="9"/>
  <c r="AF32" i="9"/>
  <c r="AP32" i="9"/>
  <c r="AG35" i="9"/>
  <c r="AE35" i="9"/>
  <c r="AO35" i="9"/>
  <c r="AC88" i="23"/>
  <c r="AC36" i="23"/>
  <c r="AF36" i="8"/>
  <c r="AP36" i="8"/>
  <c r="AP12" i="8"/>
  <c r="AF12" i="8"/>
  <c r="AC12" i="23"/>
  <c r="AC64" i="23"/>
  <c r="AF106" i="16"/>
  <c r="Z106" i="16"/>
  <c r="AL29" i="8"/>
  <c r="AJ29" i="8"/>
  <c r="N200" i="21"/>
  <c r="K200" i="21"/>
  <c r="AE17" i="17"/>
  <c r="Z17" i="17"/>
  <c r="AF219" i="16"/>
  <c r="AJ31" i="7"/>
  <c r="AF31" i="23"/>
  <c r="AF83" i="23"/>
  <c r="AF104" i="16"/>
  <c r="Z104" i="16"/>
  <c r="AK10" i="9"/>
  <c r="AK10" i="8"/>
  <c r="N53" i="8"/>
  <c r="U7" i="28"/>
  <c r="AM19" i="7"/>
  <c r="R7" i="28"/>
  <c r="N50" i="9"/>
  <c r="T50" i="9"/>
  <c r="AM50" i="9"/>
  <c r="N8" i="23"/>
  <c r="N60" i="23"/>
  <c r="U24" i="28"/>
  <c r="AM40" i="7"/>
  <c r="R24" i="28"/>
  <c r="N145" i="21"/>
  <c r="K145" i="21"/>
  <c r="AE7" i="17"/>
  <c r="Z7" i="17"/>
  <c r="AL35" i="7"/>
  <c r="N89" i="21"/>
  <c r="K89" i="21"/>
  <c r="AE62" i="17"/>
  <c r="Z62" i="17"/>
  <c r="AK24" i="9"/>
  <c r="AK24" i="8"/>
  <c r="AJ12" i="17"/>
  <c r="AJ5" i="17"/>
  <c r="AE53" i="17"/>
  <c r="Z53" i="17"/>
  <c r="AF36" i="16"/>
  <c r="AO24" i="9"/>
  <c r="AE24" i="9"/>
  <c r="AG24" i="9"/>
  <c r="AE71" i="17"/>
  <c r="Z71" i="17"/>
  <c r="AM24" i="9"/>
  <c r="T24" i="9"/>
  <c r="N24" i="9"/>
  <c r="AB64" i="23"/>
  <c r="AB12" i="23"/>
  <c r="AF10" i="16"/>
  <c r="AF89" i="16"/>
  <c r="Z89" i="16"/>
  <c r="AF64" i="23"/>
  <c r="AF12" i="23"/>
  <c r="AE69" i="17"/>
  <c r="Z69" i="17"/>
  <c r="AL16" i="8"/>
  <c r="AJ16" i="8"/>
  <c r="AK5" i="9"/>
  <c r="AK5" i="8"/>
  <c r="AL39" i="7"/>
  <c r="Z70" i="16"/>
  <c r="K70" i="21"/>
  <c r="N70" i="21"/>
  <c r="Z75" i="16"/>
  <c r="K75" i="21"/>
  <c r="N75" i="21"/>
  <c r="AE48" i="17"/>
  <c r="Z48" i="17"/>
  <c r="Z200" i="16"/>
  <c r="AF200" i="16"/>
  <c r="AE75" i="17"/>
  <c r="Z75" i="17"/>
  <c r="Z219" i="16"/>
  <c r="K219" i="21"/>
  <c r="N219" i="21"/>
  <c r="N62" i="23"/>
  <c r="N10" i="23"/>
  <c r="Z8" i="16"/>
  <c r="AF8" i="16"/>
  <c r="AF189" i="16"/>
  <c r="L63" i="6"/>
  <c r="AA7" i="21"/>
  <c r="AL28" i="8"/>
  <c r="AJ28" i="8"/>
  <c r="M17" i="21"/>
  <c r="J17" i="21"/>
  <c r="AE90" i="17"/>
  <c r="Z90" i="17"/>
  <c r="AE84" i="17"/>
  <c r="Z84" i="17"/>
  <c r="AV3" i="16"/>
  <c r="AE19" i="17"/>
  <c r="Z19" i="17"/>
  <c r="AJ35" i="7"/>
  <c r="AJ35" i="9"/>
  <c r="AL35" i="9"/>
  <c r="AG93" i="23"/>
  <c r="AG41" i="23"/>
  <c r="AM9" i="9"/>
  <c r="T9" i="9"/>
  <c r="N9" i="9"/>
  <c r="N64" i="23"/>
  <c r="N12" i="23"/>
  <c r="Z89" i="17"/>
  <c r="AE89" i="17"/>
  <c r="AE11" i="21"/>
  <c r="N49" i="9"/>
  <c r="T49" i="9"/>
  <c r="AM49" i="9"/>
  <c r="AC93" i="23"/>
  <c r="AC41" i="23"/>
  <c r="AF41" i="8"/>
  <c r="AP41" i="8"/>
  <c r="AF159" i="16"/>
  <c r="Z159" i="16"/>
  <c r="AC71" i="23"/>
  <c r="AP19" i="8"/>
  <c r="AF19" i="8"/>
  <c r="AC19" i="23"/>
  <c r="M9" i="21"/>
  <c r="J9" i="21"/>
  <c r="N53" i="21"/>
  <c r="K53" i="21"/>
  <c r="AL22" i="9"/>
  <c r="AJ22" i="9"/>
  <c r="AL23" i="9"/>
  <c r="AJ23" i="9"/>
  <c r="AE2" i="16"/>
  <c r="AK2" i="16"/>
  <c r="AL2" i="16"/>
  <c r="AB95" i="23"/>
  <c r="AB43" i="23"/>
  <c r="AE39" i="16"/>
  <c r="AF63" i="23"/>
  <c r="AF11" i="23"/>
  <c r="AP11" i="8"/>
  <c r="AF11" i="8"/>
  <c r="AC11" i="23"/>
  <c r="AC63" i="23"/>
  <c r="AK3" i="16"/>
  <c r="AK8" i="16"/>
  <c r="AL8" i="16"/>
  <c r="AF131" i="16"/>
  <c r="Z131" i="16"/>
  <c r="AO38" i="8"/>
  <c r="AE38" i="8"/>
  <c r="AG38" i="8"/>
  <c r="AJ39" i="7"/>
  <c r="AF39" i="23"/>
  <c r="AF91" i="23"/>
  <c r="N75" i="23"/>
  <c r="N23" i="23"/>
  <c r="AF30" i="16"/>
  <c r="AE13" i="16"/>
  <c r="N161" i="21"/>
  <c r="K161" i="21"/>
  <c r="AE22" i="17"/>
  <c r="Z22" i="17"/>
  <c r="N66" i="23"/>
  <c r="N14" i="23"/>
  <c r="AF137" i="16"/>
  <c r="Z137" i="16"/>
  <c r="AM12" i="9"/>
  <c r="T12" i="9"/>
  <c r="N12" i="9"/>
  <c r="AF50" i="9"/>
  <c r="AP50" i="9"/>
  <c r="AL10" i="7"/>
  <c r="AK47" i="8"/>
  <c r="AK47" i="9"/>
  <c r="AB9" i="21"/>
  <c r="D13" i="25"/>
  <c r="AL9" i="9"/>
  <c r="AJ9" i="9"/>
  <c r="Z189" i="16"/>
  <c r="K189" i="21"/>
  <c r="N189" i="21"/>
  <c r="N5" i="8"/>
  <c r="T5" i="8"/>
  <c r="AM5" i="8"/>
  <c r="T53" i="8"/>
  <c r="AE27" i="17"/>
  <c r="Z27" i="17"/>
  <c r="AF121" i="16"/>
  <c r="Z121" i="16"/>
  <c r="AG95" i="23"/>
  <c r="AG43" i="23"/>
  <c r="AL36" i="7"/>
  <c r="AK11" i="8"/>
  <c r="AK11" i="6"/>
  <c r="AK11" i="7"/>
  <c r="AK11" i="9"/>
  <c r="Y17" i="16"/>
  <c r="AE17" i="16"/>
  <c r="AF178" i="16"/>
  <c r="N179" i="21"/>
  <c r="K179" i="21"/>
  <c r="N216" i="21"/>
  <c r="K216" i="21"/>
  <c r="AG20" i="8"/>
  <c r="N46" i="9"/>
  <c r="T46" i="9"/>
  <c r="AM46" i="9"/>
  <c r="AJ9" i="21"/>
  <c r="K62" i="21"/>
  <c r="N62" i="21"/>
  <c r="V9" i="21"/>
  <c r="AG7" i="9"/>
  <c r="AE7" i="9"/>
  <c r="AO7" i="9"/>
  <c r="N138" i="21"/>
  <c r="K138" i="21"/>
  <c r="M22" i="21"/>
  <c r="J22" i="21"/>
  <c r="N35" i="21"/>
  <c r="K35" i="21"/>
  <c r="N81" i="23"/>
  <c r="N29" i="23"/>
  <c r="AM15" i="8"/>
  <c r="T15" i="8"/>
  <c r="N15" i="8"/>
  <c r="AL12" i="9"/>
  <c r="AJ12" i="9"/>
  <c r="AE26" i="17"/>
  <c r="Z26" i="17"/>
  <c r="M49" i="21"/>
  <c r="J49" i="21"/>
  <c r="AF38" i="9"/>
  <c r="AP38" i="9"/>
  <c r="AC92" i="23"/>
  <c r="AC40" i="23"/>
  <c r="AF40" i="8"/>
  <c r="AP40" i="8"/>
  <c r="AE100" i="17"/>
  <c r="Z100" i="17"/>
  <c r="AM35" i="8"/>
  <c r="T35" i="8"/>
  <c r="N35" i="8"/>
  <c r="Z30" i="16"/>
  <c r="K30" i="21"/>
  <c r="N30" i="21"/>
  <c r="Y13" i="16"/>
  <c r="J13" i="21"/>
  <c r="M13" i="21"/>
  <c r="AF193" i="16"/>
  <c r="AL38" i="7"/>
  <c r="AK43" i="8"/>
  <c r="AK43" i="6"/>
  <c r="AK43" i="7"/>
  <c r="AK43" i="9"/>
  <c r="AE6" i="17"/>
  <c r="Z6" i="17"/>
  <c r="AV9" i="16"/>
  <c r="AU9" i="16"/>
  <c r="AU12" i="16"/>
  <c r="AL48" i="7"/>
  <c r="AJ10" i="7"/>
  <c r="AJ10" i="8"/>
  <c r="AL10" i="8"/>
  <c r="AL46" i="8"/>
  <c r="AJ46" i="8"/>
  <c r="AP6" i="8"/>
  <c r="AF6" i="8"/>
  <c r="AC6" i="23"/>
  <c r="AC58" i="23"/>
  <c r="N97" i="21"/>
  <c r="K97" i="21"/>
  <c r="AK47" i="6"/>
  <c r="AK47" i="7"/>
  <c r="AG47" i="23"/>
  <c r="AG99" i="23"/>
  <c r="AK37" i="9"/>
  <c r="AK37" i="8"/>
  <c r="N5" i="23"/>
  <c r="N57" i="23"/>
  <c r="D7" i="25"/>
  <c r="X7" i="25"/>
  <c r="X13" i="25"/>
  <c r="AF24" i="16"/>
  <c r="AF53" i="8"/>
  <c r="N92" i="21"/>
  <c r="K92" i="21"/>
  <c r="AF63" i="16"/>
  <c r="AJ36" i="7"/>
  <c r="AF36" i="23"/>
  <c r="AF88" i="23"/>
  <c r="Z178" i="16"/>
  <c r="K178" i="21"/>
  <c r="N178" i="21"/>
  <c r="AF88" i="16"/>
  <c r="Z88" i="16"/>
  <c r="N6" i="8"/>
  <c r="T6" i="8"/>
  <c r="AM6" i="8"/>
  <c r="AF49" i="9"/>
  <c r="AP49" i="9"/>
  <c r="AF199" i="16"/>
  <c r="AO55" i="8"/>
  <c r="AO53" i="8"/>
  <c r="AM48" i="8"/>
  <c r="T48" i="8"/>
  <c r="N48" i="8"/>
  <c r="AF155" i="16"/>
  <c r="Z155" i="16"/>
  <c r="AO20" i="8"/>
  <c r="AE20" i="8"/>
  <c r="AB20" i="23"/>
  <c r="AB72" i="23"/>
  <c r="AK13" i="8"/>
  <c r="AK13" i="9"/>
  <c r="T41" i="7"/>
  <c r="AM41" i="7"/>
  <c r="N13" i="9"/>
  <c r="T13" i="9"/>
  <c r="AM13" i="9"/>
  <c r="N103" i="23"/>
  <c r="N51" i="23"/>
  <c r="N94" i="23"/>
  <c r="N42" i="23"/>
  <c r="AM9" i="8"/>
  <c r="T9" i="8"/>
  <c r="N9" i="8"/>
  <c r="N21" i="23"/>
  <c r="N73" i="23"/>
  <c r="AK42" i="9"/>
  <c r="AK42" i="8"/>
  <c r="AL32" i="8"/>
  <c r="AJ32" i="8"/>
  <c r="N34" i="9"/>
  <c r="T34" i="9"/>
  <c r="AM34" i="9"/>
  <c r="AF213" i="16"/>
  <c r="Z213" i="16"/>
  <c r="Z4" i="16"/>
  <c r="AF4" i="16"/>
  <c r="AE80" i="17"/>
  <c r="Z80" i="17"/>
  <c r="Z17" i="16"/>
  <c r="AF17" i="16"/>
  <c r="N21" i="8"/>
  <c r="T21" i="8"/>
  <c r="AM21" i="8"/>
  <c r="Z193" i="16"/>
  <c r="K193" i="21"/>
  <c r="N193" i="21"/>
  <c r="AJ38" i="7"/>
  <c r="AF38" i="23"/>
  <c r="AF90" i="23"/>
  <c r="AE77" i="17"/>
  <c r="Z77" i="17"/>
  <c r="AE15" i="17"/>
  <c r="Z15" i="17"/>
  <c r="N159" i="21"/>
  <c r="K159" i="21"/>
  <c r="AJ48" i="7"/>
  <c r="AJ48" i="9"/>
  <c r="AL48" i="9"/>
  <c r="N77" i="21"/>
  <c r="K77" i="21"/>
  <c r="N14" i="21"/>
  <c r="K14" i="21"/>
  <c r="AE34" i="17"/>
  <c r="Z34" i="17"/>
  <c r="AL45" i="7"/>
  <c r="AP13" i="8"/>
  <c r="AF13" i="8"/>
  <c r="AC13" i="23"/>
  <c r="AC65" i="23"/>
  <c r="AK10" i="7"/>
  <c r="AG10" i="23"/>
  <c r="AG62" i="23"/>
  <c r="AK37" i="6"/>
  <c r="AK37" i="7"/>
  <c r="AG37" i="23"/>
  <c r="AG89" i="23"/>
  <c r="N102" i="21"/>
  <c r="K102" i="21"/>
  <c r="AJ45" i="7"/>
  <c r="AJ45" i="8"/>
  <c r="AL45" i="8"/>
  <c r="Z76" i="16"/>
  <c r="AF76" i="16"/>
  <c r="AF139" i="16"/>
  <c r="Z139" i="16"/>
  <c r="N88" i="21"/>
  <c r="K88" i="21"/>
  <c r="Z63" i="16"/>
  <c r="K63" i="21"/>
  <c r="N63" i="21"/>
  <c r="Z53" i="16"/>
  <c r="AF53" i="16"/>
  <c r="AO7" i="8"/>
  <c r="AE7" i="8"/>
  <c r="AG7" i="8"/>
  <c r="AO19" i="9"/>
  <c r="AE19" i="9"/>
  <c r="AG19" i="9"/>
  <c r="Z199" i="16"/>
  <c r="K199" i="21"/>
  <c r="N199" i="21"/>
  <c r="AL33" i="7"/>
  <c r="AK24" i="6"/>
  <c r="AK24" i="7"/>
  <c r="AG24" i="23"/>
  <c r="AG76" i="23"/>
  <c r="AL17" i="7"/>
  <c r="AK13" i="6"/>
  <c r="AK13" i="7"/>
  <c r="AG13" i="23"/>
  <c r="AG65" i="23"/>
  <c r="AF205" i="16"/>
  <c r="Z205" i="16"/>
  <c r="N209" i="21"/>
  <c r="K209" i="21"/>
  <c r="AK30" i="8"/>
  <c r="AK30" i="6"/>
  <c r="AK30" i="7"/>
  <c r="AK30" i="9"/>
  <c r="AF208" i="16"/>
  <c r="Z208" i="16"/>
  <c r="N22" i="23"/>
  <c r="N74" i="23"/>
  <c r="AK18" i="9"/>
  <c r="AK18" i="6"/>
  <c r="AK18" i="7"/>
  <c r="AK18" i="8"/>
  <c r="Z216" i="16"/>
  <c r="AF216" i="16"/>
  <c r="AF13" i="16"/>
  <c r="AF93" i="16"/>
  <c r="Z93" i="16"/>
  <c r="AK34" i="9"/>
  <c r="AK34" i="8"/>
  <c r="AF68" i="16"/>
  <c r="AL14" i="8"/>
  <c r="AJ14" i="8"/>
  <c r="N40" i="9"/>
  <c r="T40" i="9"/>
  <c r="AM40" i="9"/>
  <c r="N142" i="21"/>
  <c r="K142" i="21"/>
  <c r="AF97" i="16"/>
  <c r="Z97" i="16"/>
  <c r="AL25" i="7"/>
  <c r="AK42" i="6"/>
  <c r="AK42" i="7"/>
  <c r="AG42" i="23"/>
  <c r="AG94" i="23"/>
  <c r="AP21" i="9"/>
  <c r="AF21" i="9"/>
  <c r="AE74" i="17"/>
  <c r="Z74" i="17"/>
  <c r="AE45" i="17"/>
  <c r="Z45" i="17"/>
  <c r="N105" i="21"/>
  <c r="K105" i="21"/>
  <c r="N182" i="21"/>
  <c r="K182" i="21"/>
  <c r="AE79" i="17"/>
  <c r="Z79" i="17"/>
  <c r="AK16" i="8"/>
  <c r="AK16" i="9"/>
  <c r="N94" i="21"/>
  <c r="K94" i="21"/>
  <c r="Z10" i="16"/>
  <c r="K10" i="21"/>
  <c r="N10" i="21"/>
  <c r="T15" i="7"/>
  <c r="AP15" i="9"/>
  <c r="AF15" i="9"/>
  <c r="AF40" i="9"/>
  <c r="T40" i="7"/>
  <c r="AP40" i="9"/>
  <c r="AM7" i="8"/>
  <c r="T7" i="8"/>
  <c r="N7" i="8"/>
  <c r="Z13" i="16"/>
  <c r="K13" i="21"/>
  <c r="N13" i="21"/>
  <c r="AE11" i="16"/>
  <c r="AB86" i="23"/>
  <c r="AB34" i="23"/>
  <c r="AE33" i="17"/>
  <c r="Z33" i="17"/>
  <c r="N196" i="21"/>
  <c r="K196" i="21"/>
  <c r="Z16" i="16"/>
  <c r="K16" i="21"/>
  <c r="N16" i="21"/>
  <c r="AM19" i="8"/>
  <c r="T19" i="8"/>
  <c r="N19" i="8"/>
  <c r="AL9" i="7"/>
  <c r="AL14" i="7"/>
  <c r="N165" i="21"/>
  <c r="K165" i="21"/>
  <c r="AC80" i="23"/>
  <c r="AC28" i="23"/>
  <c r="AF28" i="8"/>
  <c r="AP28" i="8"/>
  <c r="AE76" i="17"/>
  <c r="Z76" i="17"/>
  <c r="AB66" i="23"/>
  <c r="AB14" i="23"/>
  <c r="AG11" i="21"/>
  <c r="Y11" i="21"/>
  <c r="K166" i="21"/>
  <c r="S11" i="21"/>
  <c r="N72" i="21"/>
  <c r="K72" i="21"/>
  <c r="N176" i="21"/>
  <c r="K176" i="21"/>
  <c r="AK14" i="6"/>
  <c r="AK14" i="7"/>
  <c r="AG14" i="23"/>
  <c r="AG66" i="23"/>
  <c r="AJ17" i="7"/>
  <c r="AF17" i="23"/>
  <c r="AF69" i="23"/>
  <c r="N17" i="9"/>
  <c r="T17" i="9"/>
  <c r="AM17" i="9"/>
  <c r="AO43" i="9"/>
  <c r="AE43" i="9"/>
  <c r="AG43" i="9"/>
  <c r="N191" i="21"/>
  <c r="K191" i="21"/>
  <c r="Z28" i="16"/>
  <c r="AF28" i="16"/>
  <c r="AF152" i="16"/>
  <c r="Z152" i="16"/>
  <c r="AK34" i="6"/>
  <c r="AK34" i="7"/>
  <c r="AG34" i="23"/>
  <c r="AG86" i="23"/>
  <c r="AP22" i="8"/>
  <c r="AF22" i="8"/>
  <c r="AC22" i="23"/>
  <c r="AC74" i="23"/>
  <c r="Z68" i="16"/>
  <c r="K68" i="21"/>
  <c r="N68" i="21"/>
  <c r="Z191" i="16"/>
  <c r="AF191" i="16"/>
  <c r="AC87" i="23"/>
  <c r="T35" i="7"/>
  <c r="AP35" i="8"/>
  <c r="AF35" i="8"/>
  <c r="AC35" i="23"/>
  <c r="N45" i="9"/>
  <c r="T45" i="9"/>
  <c r="AM45" i="9"/>
  <c r="N14" i="9"/>
  <c r="T14" i="9"/>
  <c r="AM14" i="9"/>
  <c r="AL46" i="7"/>
  <c r="AJ25" i="7"/>
  <c r="AJ25" i="9"/>
  <c r="AL25" i="9"/>
  <c r="AE44" i="17"/>
  <c r="Z44" i="17"/>
  <c r="AE29" i="17"/>
  <c r="Z29" i="17"/>
  <c r="AF62" i="16"/>
  <c r="AU3" i="16"/>
  <c r="AU8" i="16"/>
  <c r="AV8" i="16"/>
  <c r="N95" i="21"/>
  <c r="K95" i="21"/>
  <c r="N87" i="21"/>
  <c r="K87" i="21"/>
  <c r="AM37" i="7"/>
  <c r="I13" i="28"/>
  <c r="N13" i="6"/>
  <c r="N13" i="7"/>
  <c r="T13" i="7"/>
  <c r="AM13" i="7"/>
  <c r="F13" i="28"/>
  <c r="AK16" i="7"/>
  <c r="AG16" i="23"/>
  <c r="AG68" i="23"/>
  <c r="AF135" i="16"/>
  <c r="Z135" i="16"/>
  <c r="N150" i="21"/>
  <c r="K150" i="21"/>
  <c r="AF85" i="16"/>
  <c r="Z85" i="16"/>
  <c r="Y49" i="16"/>
  <c r="AE49" i="16"/>
  <c r="Y11" i="16"/>
  <c r="J11" i="21"/>
  <c r="M11" i="21"/>
  <c r="Z179" i="16"/>
  <c r="AF179" i="16"/>
  <c r="AB84" i="23"/>
  <c r="AB32" i="23"/>
  <c r="AE54" i="17"/>
  <c r="Z54" i="17"/>
  <c r="AJ9" i="7"/>
  <c r="AJ9" i="8"/>
  <c r="AL9" i="8"/>
  <c r="AJ14" i="7"/>
  <c r="AJ14" i="9"/>
  <c r="AL14" i="9"/>
  <c r="N107" i="21"/>
  <c r="K107" i="21"/>
  <c r="AL5" i="7"/>
  <c r="AE57" i="17"/>
  <c r="Z57" i="17"/>
  <c r="AF94" i="23"/>
  <c r="AF42" i="23"/>
  <c r="N37" i="8"/>
  <c r="T37" i="8"/>
  <c r="AM37" i="8"/>
  <c r="Z14" i="16"/>
  <c r="AF14" i="16"/>
  <c r="AF99" i="23"/>
  <c r="AF47" i="23"/>
  <c r="AF150" i="16"/>
  <c r="Z150" i="16"/>
  <c r="AJ46" i="7"/>
  <c r="AJ46" i="9"/>
  <c r="AL46" i="9"/>
  <c r="AP25" i="8"/>
  <c r="AF25" i="8"/>
  <c r="AC25" i="23"/>
  <c r="AC77" i="23"/>
  <c r="AJ22" i="7"/>
  <c r="AL22" i="7"/>
  <c r="AE39" i="17"/>
  <c r="Z39" i="17"/>
  <c r="AO12" i="8"/>
  <c r="AE12" i="8"/>
  <c r="AG12" i="8"/>
  <c r="Z77" i="16"/>
  <c r="AF77" i="16"/>
  <c r="Y39" i="16"/>
  <c r="J39" i="21"/>
  <c r="M39" i="21"/>
  <c r="AL42" i="9"/>
  <c r="AJ42" i="9"/>
  <c r="N37" i="6"/>
  <c r="N37" i="7"/>
  <c r="T37" i="7"/>
  <c r="AP37" i="9"/>
  <c r="AF37" i="9"/>
  <c r="AE82" i="17"/>
  <c r="Z82" i="17"/>
  <c r="AG64" i="23"/>
  <c r="AG12" i="23"/>
  <c r="AL53" i="8"/>
  <c r="AJ32" i="7"/>
  <c r="AL32" i="7"/>
  <c r="AE9" i="17"/>
  <c r="Z9" i="17"/>
  <c r="AJ29" i="7"/>
  <c r="AL29" i="7"/>
  <c r="N136" i="21"/>
  <c r="K136" i="21"/>
  <c r="N91" i="23"/>
  <c r="N39" i="23"/>
  <c r="AK41" i="9"/>
  <c r="AK41" i="6"/>
  <c r="AK41" i="7"/>
  <c r="AK41" i="8"/>
  <c r="AJ11" i="7"/>
  <c r="AL11" i="7"/>
  <c r="AO28" i="9"/>
  <c r="AE28" i="9"/>
  <c r="AG28" i="9"/>
  <c r="N101" i="23"/>
  <c r="N49" i="23"/>
  <c r="N33" i="21"/>
  <c r="K33" i="21"/>
  <c r="AO42" i="9"/>
  <c r="AE42" i="9"/>
  <c r="AG42" i="9"/>
  <c r="AE20" i="17"/>
  <c r="Z20" i="17"/>
  <c r="AG12" i="21"/>
  <c r="Y12" i="21"/>
  <c r="S12" i="21"/>
  <c r="AE21" i="17"/>
  <c r="Z21" i="17"/>
  <c r="AG69" i="23"/>
  <c r="AG17" i="23"/>
  <c r="AM29" i="9"/>
  <c r="T29" i="9"/>
  <c r="N29" i="9"/>
  <c r="N54" i="21"/>
  <c r="K54" i="21"/>
  <c r="AG47" i="9"/>
  <c r="AE47" i="9"/>
  <c r="AO47" i="9"/>
  <c r="AB11" i="21"/>
  <c r="AB63" i="23"/>
  <c r="AB11" i="23"/>
  <c r="AL6" i="7"/>
  <c r="N16" i="7"/>
  <c r="T16" i="7"/>
  <c r="AP16" i="9"/>
  <c r="AF16" i="9"/>
  <c r="N120" i="21"/>
  <c r="K120" i="21"/>
  <c r="AL50" i="7"/>
  <c r="AM32" i="8"/>
  <c r="T32" i="8"/>
  <c r="N32" i="8"/>
  <c r="M23" i="21"/>
  <c r="J23" i="21"/>
  <c r="AF78" i="23"/>
  <c r="AF26" i="23"/>
  <c r="AF18" i="9"/>
  <c r="AP18" i="9"/>
  <c r="AF30" i="9"/>
  <c r="AP30" i="9"/>
  <c r="AL37" i="9"/>
  <c r="AJ37" i="9"/>
  <c r="N6" i="9"/>
  <c r="T6" i="9"/>
  <c r="AM6" i="9"/>
  <c r="AG50" i="9"/>
  <c r="AE50" i="9"/>
  <c r="AO50" i="9"/>
  <c r="AE16" i="17"/>
  <c r="Z16" i="17"/>
  <c r="AF146" i="16"/>
  <c r="Z146" i="16"/>
  <c r="N59" i="23"/>
  <c r="N7" i="23"/>
  <c r="AL18" i="7"/>
  <c r="AE43" i="17"/>
  <c r="Z43" i="17"/>
  <c r="AG45" i="8"/>
  <c r="N131" i="21"/>
  <c r="K131" i="21"/>
  <c r="N25" i="8"/>
  <c r="T25" i="8"/>
  <c r="AM25" i="8"/>
  <c r="Z166" i="16"/>
  <c r="AF166" i="16"/>
  <c r="AK5" i="16"/>
  <c r="AL5" i="16"/>
  <c r="AG51" i="9"/>
  <c r="AE51" i="9"/>
  <c r="AO51" i="9"/>
  <c r="AF7" i="9"/>
  <c r="AP7" i="9"/>
  <c r="AM45" i="8"/>
  <c r="T45" i="8"/>
  <c r="N45" i="8"/>
  <c r="AC70" i="23"/>
  <c r="AC18" i="23"/>
  <c r="AF18" i="8"/>
  <c r="AP18" i="8"/>
  <c r="AM38" i="8"/>
  <c r="T38" i="8"/>
  <c r="N38" i="8"/>
  <c r="N26" i="23"/>
  <c r="N78" i="23"/>
  <c r="AM31" i="9"/>
  <c r="T31" i="9"/>
  <c r="N31" i="9"/>
  <c r="N181" i="21"/>
  <c r="K181" i="21"/>
  <c r="N74" i="21"/>
  <c r="K74" i="21"/>
  <c r="Z24" i="16"/>
  <c r="K24" i="21"/>
  <c r="N24" i="21"/>
  <c r="Z36" i="16"/>
  <c r="K36" i="21"/>
  <c r="N36" i="21"/>
  <c r="AG25" i="8"/>
  <c r="AF29" i="16"/>
  <c r="Z33" i="16"/>
  <c r="AF33" i="16"/>
  <c r="Z176" i="16"/>
  <c r="AF176" i="16"/>
  <c r="Z79" i="16"/>
  <c r="AF79" i="16"/>
  <c r="AP48" i="8"/>
  <c r="AF48" i="8"/>
  <c r="AC48" i="23"/>
  <c r="AC100" i="23"/>
  <c r="Z35" i="16"/>
  <c r="AF35" i="16"/>
  <c r="S15" i="25"/>
  <c r="AP5" i="8"/>
  <c r="AF5" i="8"/>
  <c r="AC5" i="23"/>
  <c r="AC57" i="23"/>
  <c r="S9" i="25"/>
  <c r="S14" i="25"/>
  <c r="Z5" i="16"/>
  <c r="AF5" i="16"/>
  <c r="N14" i="8"/>
  <c r="T14" i="8"/>
  <c r="AM14" i="8"/>
  <c r="AF90" i="16"/>
  <c r="Z90" i="16"/>
  <c r="AF164" i="16"/>
  <c r="Z164" i="16"/>
  <c r="AG6" i="8"/>
  <c r="Z214" i="16"/>
  <c r="K214" i="21"/>
  <c r="N214" i="21"/>
  <c r="V12" i="21"/>
  <c r="AJ12" i="21"/>
  <c r="AJ18" i="7"/>
  <c r="AF18" i="23"/>
  <c r="AF70" i="23"/>
  <c r="N69" i="21"/>
  <c r="K69" i="21"/>
  <c r="AO45" i="8"/>
  <c r="AE45" i="8"/>
  <c r="AB45" i="23"/>
  <c r="AB97" i="23"/>
  <c r="U22" i="28"/>
  <c r="T38" i="7"/>
  <c r="AM38" i="7"/>
  <c r="R22" i="28"/>
  <c r="AL15" i="7"/>
  <c r="AF36" i="9"/>
  <c r="AP36" i="9"/>
  <c r="N88" i="23"/>
  <c r="N36" i="23"/>
  <c r="N93" i="23"/>
  <c r="AJ41" i="6"/>
  <c r="N41" i="6"/>
  <c r="N41" i="7"/>
  <c r="N41" i="23"/>
  <c r="AF185" i="16"/>
  <c r="AB80" i="23"/>
  <c r="AB28" i="23"/>
  <c r="AF58" i="8"/>
  <c r="AM53" i="8"/>
  <c r="AE58" i="8"/>
  <c r="R10" i="28"/>
  <c r="AM26" i="7"/>
  <c r="U10" i="28"/>
  <c r="Y9" i="16"/>
  <c r="AE9" i="16"/>
  <c r="AO25" i="8"/>
  <c r="AE25" i="8"/>
  <c r="AB25" i="23"/>
  <c r="AB77" i="23"/>
  <c r="Z29" i="16"/>
  <c r="K29" i="21"/>
  <c r="N29" i="21"/>
  <c r="N109" i="21"/>
  <c r="K109" i="21"/>
  <c r="N48" i="9"/>
  <c r="T48" i="9"/>
  <c r="AM48" i="9"/>
  <c r="AF29" i="9"/>
  <c r="AP29" i="9"/>
  <c r="Y22" i="16"/>
  <c r="AE22" i="16"/>
  <c r="AJ40" i="7"/>
  <c r="AL40" i="7"/>
  <c r="AG80" i="23"/>
  <c r="AG28" i="23"/>
  <c r="AF91" i="16"/>
  <c r="Z91" i="16"/>
  <c r="AF158" i="16"/>
  <c r="Z158" i="16"/>
  <c r="AK28" i="9"/>
  <c r="AK28" i="6"/>
  <c r="AK28" i="7"/>
  <c r="AK28" i="8"/>
  <c r="N12" i="8"/>
  <c r="T12" i="8"/>
  <c r="AM12" i="8"/>
  <c r="AL23" i="8"/>
  <c r="AJ23" i="8"/>
  <c r="N114" i="21"/>
  <c r="K114" i="21"/>
  <c r="N129" i="21"/>
  <c r="K129" i="21"/>
  <c r="AP23" i="8"/>
  <c r="AF23" i="8"/>
  <c r="AC23" i="23"/>
  <c r="AC75" i="23"/>
  <c r="AO10" i="9"/>
  <c r="AE10" i="9"/>
  <c r="AG10" i="9"/>
  <c r="AE3" i="16"/>
  <c r="N44" i="8"/>
  <c r="T44" i="8"/>
  <c r="AM44" i="8"/>
  <c r="AO6" i="8"/>
  <c r="AE6" i="8"/>
  <c r="AB6" i="23"/>
  <c r="AB58" i="23"/>
  <c r="AK12" i="8"/>
  <c r="AK12" i="6"/>
  <c r="AK12" i="7"/>
  <c r="AK12" i="9"/>
  <c r="AJ12" i="7"/>
  <c r="AL12" i="7"/>
  <c r="AF51" i="9"/>
  <c r="T51" i="7"/>
  <c r="AP51" i="9"/>
  <c r="AJ15" i="7"/>
  <c r="AF15" i="23"/>
  <c r="AF67" i="23"/>
  <c r="AF197" i="16"/>
  <c r="L68" i="6"/>
  <c r="N205" i="21"/>
  <c r="K205" i="21"/>
  <c r="AJ35" i="6"/>
  <c r="N35" i="6"/>
  <c r="N35" i="7"/>
  <c r="N35" i="9"/>
  <c r="T35" i="9"/>
  <c r="AM35" i="9"/>
  <c r="N32" i="21"/>
  <c r="K32" i="21"/>
  <c r="R13" i="25"/>
  <c r="R7" i="25"/>
  <c r="AF206" i="16"/>
  <c r="Z206" i="16"/>
  <c r="N84" i="21"/>
  <c r="K84" i="21"/>
  <c r="AG34" i="9"/>
  <c r="AE34" i="9"/>
  <c r="AO34" i="9"/>
  <c r="T34" i="7"/>
  <c r="AO34" i="8"/>
  <c r="AE34" i="8"/>
  <c r="AG34" i="8"/>
  <c r="T32" i="7"/>
  <c r="AO32" i="8"/>
  <c r="AE32" i="8"/>
  <c r="AG32" i="8"/>
  <c r="N3" i="21"/>
  <c r="K3" i="21"/>
  <c r="N36" i="8"/>
  <c r="T36" i="8"/>
  <c r="AM36" i="8"/>
  <c r="N64" i="21"/>
  <c r="K64" i="21"/>
  <c r="Y3" i="16"/>
  <c r="J3" i="21"/>
  <c r="M3" i="21"/>
  <c r="N39" i="9"/>
  <c r="T39" i="9"/>
  <c r="AM39" i="9"/>
  <c r="N108" i="21"/>
  <c r="K108" i="21"/>
  <c r="AO45" i="9"/>
  <c r="AE45" i="9"/>
  <c r="AG45" i="9"/>
  <c r="Z32" i="16"/>
  <c r="AF32" i="16"/>
  <c r="AG53" i="9"/>
  <c r="N96" i="21"/>
  <c r="K96" i="21"/>
  <c r="Y23" i="16"/>
  <c r="AE23" i="16"/>
  <c r="N180" i="21"/>
  <c r="K180" i="21"/>
  <c r="N78" i="21"/>
  <c r="K78" i="21"/>
  <c r="AL16" i="7"/>
  <c r="AL44" i="7"/>
  <c r="AF105" i="16"/>
  <c r="Z105" i="16"/>
  <c r="AF154" i="16"/>
  <c r="Z154" i="16"/>
  <c r="AE68" i="17"/>
  <c r="Z68" i="17"/>
  <c r="AL26" i="8"/>
  <c r="AJ26" i="8"/>
  <c r="K126" i="21"/>
  <c r="N126" i="21"/>
  <c r="V10" i="21"/>
  <c r="AJ10" i="21"/>
  <c r="N127" i="21"/>
  <c r="K127" i="21"/>
  <c r="N210" i="21"/>
  <c r="K210" i="21"/>
  <c r="Z185" i="16"/>
  <c r="K185" i="21"/>
  <c r="N185" i="21"/>
  <c r="N106" i="21"/>
  <c r="K106" i="21"/>
  <c r="N149" i="21"/>
  <c r="K149" i="21"/>
  <c r="Y2" i="16"/>
  <c r="J2" i="21"/>
  <c r="R7" i="21"/>
  <c r="X7" i="21"/>
  <c r="AF7" i="21"/>
  <c r="AF169" i="16"/>
  <c r="Z169" i="16"/>
  <c r="K169" i="21"/>
  <c r="N169" i="21"/>
  <c r="N55" i="21"/>
  <c r="K55" i="21"/>
  <c r="AP44" i="8"/>
  <c r="AF44" i="8"/>
  <c r="AC44" i="23"/>
  <c r="AC96" i="23"/>
  <c r="AG102" i="23"/>
  <c r="AG50" i="23"/>
  <c r="M19" i="21"/>
  <c r="J19" i="21"/>
  <c r="AB100" i="23"/>
  <c r="AB48" i="23"/>
  <c r="N110" i="21"/>
  <c r="K110" i="21"/>
  <c r="AF153" i="16"/>
  <c r="Z153" i="16"/>
  <c r="AF130" i="16"/>
  <c r="Z130" i="16"/>
  <c r="AE42" i="17"/>
  <c r="Z42" i="17"/>
  <c r="Z181" i="16"/>
  <c r="AF181" i="16"/>
  <c r="Z78" i="16"/>
  <c r="AF78" i="16"/>
  <c r="AJ16" i="7"/>
  <c r="AJ16" i="9"/>
  <c r="AL16" i="9"/>
  <c r="AJ44" i="7"/>
  <c r="AJ44" i="9"/>
  <c r="AL44" i="9"/>
  <c r="AF168" i="16"/>
  <c r="N44" i="23"/>
  <c r="N96" i="23"/>
  <c r="AL30" i="7"/>
  <c r="AE10" i="16"/>
  <c r="AG39" i="8"/>
  <c r="AE61" i="17"/>
  <c r="Z61" i="17"/>
  <c r="AG49" i="8"/>
  <c r="AF8" i="9"/>
  <c r="AP8" i="9"/>
  <c r="AG67" i="23"/>
  <c r="AG15" i="23"/>
  <c r="AO23" i="9"/>
  <c r="AE23" i="9"/>
  <c r="AG23" i="9"/>
  <c r="AG5" i="8"/>
  <c r="AE53" i="8"/>
  <c r="AP6" i="9"/>
  <c r="AF6" i="9"/>
  <c r="AP43" i="8"/>
  <c r="AF43" i="8"/>
  <c r="AC43" i="23"/>
  <c r="AC95" i="23"/>
  <c r="AB88" i="23"/>
  <c r="AB36" i="23"/>
  <c r="AF22" i="16"/>
  <c r="AL47" i="7"/>
  <c r="AP25" i="9"/>
  <c r="AF25" i="9"/>
  <c r="N70" i="23"/>
  <c r="N18" i="23"/>
  <c r="AF17" i="9"/>
  <c r="AP17" i="9"/>
  <c r="Z6" i="16"/>
  <c r="AF6" i="16"/>
  <c r="N23" i="8"/>
  <c r="T23" i="8"/>
  <c r="AM23" i="8"/>
  <c r="Z196" i="16"/>
  <c r="AF196" i="16"/>
  <c r="Z197" i="16"/>
  <c r="K197" i="21"/>
  <c r="N197" i="21"/>
  <c r="AJ6" i="7"/>
  <c r="AJ6" i="9"/>
  <c r="AL6" i="9"/>
  <c r="F6" i="28"/>
  <c r="I5" i="28"/>
  <c r="F5" i="28"/>
  <c r="I6" i="28"/>
  <c r="AF149" i="16"/>
  <c r="Z149" i="16"/>
  <c r="AJ33" i="7"/>
  <c r="AJ33" i="9"/>
  <c r="AL33" i="9"/>
  <c r="AP14" i="8"/>
  <c r="AF14" i="8"/>
  <c r="AC14" i="23"/>
  <c r="AC66" i="23"/>
  <c r="AJ50" i="7"/>
  <c r="AF50" i="23"/>
  <c r="AF102" i="23"/>
  <c r="AE38" i="16"/>
  <c r="AF162" i="16"/>
  <c r="Z162" i="16"/>
  <c r="AF201" i="16"/>
  <c r="AP55" i="9"/>
  <c r="AP53" i="9"/>
  <c r="AF133" i="16"/>
  <c r="Z133" i="16"/>
  <c r="AE41" i="17"/>
  <c r="Z41" i="17"/>
  <c r="R19" i="28"/>
  <c r="AM36" i="7"/>
  <c r="U19" i="28"/>
  <c r="AF117" i="16"/>
  <c r="Z117" i="16"/>
  <c r="T53" i="7"/>
  <c r="AM42" i="9"/>
  <c r="T42" i="9"/>
  <c r="N42" i="9"/>
  <c r="AO48" i="8"/>
  <c r="AE48" i="8"/>
  <c r="AG48" i="8"/>
  <c r="N31" i="21"/>
  <c r="K31" i="21"/>
  <c r="N44" i="9"/>
  <c r="T44" i="9"/>
  <c r="AM44" i="9"/>
  <c r="AE53" i="9"/>
  <c r="AO5" i="9"/>
  <c r="AE5" i="9"/>
  <c r="AG5" i="9"/>
  <c r="Z55" i="16"/>
  <c r="AF55" i="16"/>
  <c r="Z168" i="16"/>
  <c r="K168" i="21"/>
  <c r="N168" i="21"/>
  <c r="AM27" i="7"/>
  <c r="AJ30" i="7"/>
  <c r="AF30" i="23"/>
  <c r="AF82" i="23"/>
  <c r="Y10" i="16"/>
  <c r="J10" i="21"/>
  <c r="M10" i="21"/>
  <c r="AJ39" i="6"/>
  <c r="N39" i="6"/>
  <c r="N39" i="7"/>
  <c r="T39" i="7"/>
  <c r="AO39" i="8"/>
  <c r="AE39" i="8"/>
  <c r="AB39" i="23"/>
  <c r="AB91" i="23"/>
  <c r="AO49" i="8"/>
  <c r="AE49" i="8"/>
  <c r="AB49" i="23"/>
  <c r="AB101" i="23"/>
  <c r="AF47" i="9"/>
  <c r="N47" i="6"/>
  <c r="N47" i="7"/>
  <c r="T47" i="7"/>
  <c r="AP47" i="9"/>
  <c r="AF224" i="16"/>
  <c r="AJ45" i="6"/>
  <c r="N45" i="6"/>
  <c r="N45" i="7"/>
  <c r="T45" i="7"/>
  <c r="AP45" i="8"/>
  <c r="AF45" i="8"/>
  <c r="AC45" i="23"/>
  <c r="AC97" i="23"/>
  <c r="Y38" i="16"/>
  <c r="J38" i="21"/>
  <c r="M38" i="21"/>
  <c r="AG90" i="23"/>
  <c r="AG38" i="23"/>
  <c r="AE5" i="17"/>
  <c r="Z5" i="17"/>
  <c r="AM28" i="7"/>
  <c r="AE70" i="17"/>
  <c r="Z70" i="17"/>
  <c r="Y19" i="16"/>
  <c r="AE19" i="16"/>
  <c r="N28" i="6"/>
  <c r="N28" i="7"/>
  <c r="T28" i="7"/>
  <c r="AO28" i="8"/>
  <c r="AE28" i="8"/>
  <c r="AG28" i="8"/>
  <c r="AE47" i="17"/>
  <c r="Z47" i="17"/>
  <c r="Z224" i="16"/>
  <c r="K224" i="21"/>
  <c r="N224" i="21"/>
  <c r="N220" i="21"/>
  <c r="K220" i="21"/>
  <c r="Z22" i="16"/>
  <c r="K22" i="21"/>
  <c r="N22" i="21"/>
  <c r="AJ47" i="9"/>
  <c r="AL47" i="9"/>
  <c r="AJ47" i="6"/>
  <c r="AJ47" i="7"/>
  <c r="AJ47" i="8"/>
  <c r="AL47" i="8"/>
  <c r="Z201" i="16"/>
  <c r="K208" i="21"/>
  <c r="N208" i="21"/>
  <c r="AP5" i="9"/>
  <c r="AF5" i="9"/>
  <c r="Z3" i="16"/>
  <c r="AF3" i="16"/>
  <c r="AL7" i="7"/>
  <c r="AO43" i="8"/>
  <c r="AE43" i="8"/>
  <c r="AG43" i="8"/>
  <c r="AF46" i="9"/>
  <c r="AP46" i="9"/>
  <c r="AM51" i="8"/>
  <c r="AJ51" i="6"/>
  <c r="N51" i="6"/>
  <c r="N51" i="7"/>
  <c r="N51" i="8"/>
  <c r="T51" i="8"/>
  <c r="Z31" i="16"/>
  <c r="AF31" i="16"/>
  <c r="AE65" i="17"/>
  <c r="Z65" i="17"/>
  <c r="Z109" i="16"/>
  <c r="AF109" i="16"/>
  <c r="Z180" i="16"/>
  <c r="AF180" i="16"/>
  <c r="M24" i="21"/>
  <c r="J24" i="21"/>
  <c r="F10" i="28"/>
  <c r="I10" i="28"/>
  <c r="Z69" i="16"/>
  <c r="AF69" i="16"/>
  <c r="AE41" i="16"/>
  <c r="N38" i="6"/>
  <c r="N38" i="7"/>
  <c r="N38" i="23"/>
  <c r="N90" i="23"/>
  <c r="AE20" i="16"/>
  <c r="AO36" i="8"/>
  <c r="AE36" i="8"/>
  <c r="AG36" i="8"/>
  <c r="T18" i="7"/>
  <c r="AO18" i="9"/>
  <c r="AE18" i="9"/>
  <c r="AG18" i="9"/>
  <c r="AJ36" i="6"/>
  <c r="N36" i="6"/>
  <c r="N36" i="7"/>
  <c r="T36" i="7"/>
  <c r="AO36" i="9"/>
  <c r="AE36" i="9"/>
  <c r="AG36" i="9"/>
  <c r="AL28" i="7"/>
  <c r="AG30" i="9"/>
  <c r="AE30" i="9"/>
  <c r="AJ30" i="6"/>
  <c r="N30" i="6"/>
  <c r="N30" i="7"/>
  <c r="T30" i="7"/>
  <c r="AO30" i="9"/>
  <c r="Z74" i="16"/>
  <c r="AF74" i="16"/>
  <c r="H5" i="28"/>
  <c r="H7" i="28"/>
  <c r="E7" i="28"/>
  <c r="E5" i="28"/>
  <c r="AJ34" i="6"/>
  <c r="N34" i="6"/>
  <c r="N34" i="7"/>
  <c r="N34" i="23"/>
  <c r="N86" i="23"/>
  <c r="AL37" i="7"/>
  <c r="M12" i="21"/>
  <c r="J12" i="21"/>
  <c r="N71" i="21"/>
  <c r="K71" i="21"/>
  <c r="AJ55" i="6"/>
  <c r="AJ60" i="6"/>
  <c r="AJ5" i="7"/>
  <c r="AJ5" i="8"/>
  <c r="AL5" i="8"/>
  <c r="AJ53" i="8"/>
  <c r="AJ7" i="7"/>
  <c r="AJ7" i="9"/>
  <c r="AL7" i="9"/>
  <c r="AO49" i="9"/>
  <c r="AE49" i="9"/>
  <c r="AG49" i="9"/>
  <c r="K146" i="21"/>
  <c r="N146" i="21"/>
  <c r="T23" i="7"/>
  <c r="AM23" i="7"/>
  <c r="Z35" i="17"/>
  <c r="AE35" i="17"/>
  <c r="AO44" i="9"/>
  <c r="AE44" i="9"/>
  <c r="AG44" i="9"/>
  <c r="I11" i="28"/>
  <c r="AJ12" i="6"/>
  <c r="N12" i="6"/>
  <c r="N12" i="7"/>
  <c r="T12" i="7"/>
  <c r="AM12" i="7"/>
  <c r="F11" i="28"/>
  <c r="AM29" i="7"/>
  <c r="AL13" i="7"/>
  <c r="AB61" i="23"/>
  <c r="AB9" i="23"/>
  <c r="Z2" i="17"/>
  <c r="AE2" i="17"/>
  <c r="AE9" i="21"/>
  <c r="N43" i="8"/>
  <c r="T43" i="8"/>
  <c r="AM43" i="8"/>
  <c r="AG29" i="8"/>
  <c r="AF195" i="16"/>
  <c r="M42" i="21"/>
  <c r="J42" i="21"/>
  <c r="W11" i="25"/>
  <c r="K143" i="21"/>
  <c r="N143" i="21"/>
  <c r="Y41" i="16"/>
  <c r="J41" i="21"/>
  <c r="M41" i="21"/>
  <c r="N194" i="21"/>
  <c r="K194" i="21"/>
  <c r="Y20" i="16"/>
  <c r="J20" i="21"/>
  <c r="M20" i="21"/>
  <c r="Z62" i="16"/>
  <c r="K164" i="21"/>
  <c r="N164" i="21"/>
  <c r="AM18" i="8"/>
  <c r="T18" i="8"/>
  <c r="AJ18" i="6"/>
  <c r="N18" i="6"/>
  <c r="N18" i="7"/>
  <c r="N18" i="8"/>
  <c r="AP7" i="8"/>
  <c r="AF7" i="8"/>
  <c r="AC7" i="23"/>
  <c r="AC59" i="23"/>
  <c r="Z46" i="17"/>
  <c r="AE46" i="17"/>
  <c r="AG19" i="8"/>
  <c r="AJ28" i="6"/>
  <c r="AJ28" i="7"/>
  <c r="AF28" i="23"/>
  <c r="AF80" i="23"/>
  <c r="U13" i="28"/>
  <c r="AM31" i="7"/>
  <c r="R13" i="28"/>
  <c r="R30" i="28"/>
  <c r="AJ49" i="6"/>
  <c r="N49" i="6"/>
  <c r="N49" i="7"/>
  <c r="T49" i="7"/>
  <c r="AM49" i="7"/>
  <c r="U30" i="28"/>
  <c r="N20" i="23"/>
  <c r="N72" i="23"/>
  <c r="N26" i="6"/>
  <c r="N26" i="7"/>
  <c r="T26" i="7"/>
  <c r="AO26" i="9"/>
  <c r="AE26" i="9"/>
  <c r="AG26" i="9"/>
  <c r="R11" i="28"/>
  <c r="U11" i="28"/>
  <c r="Z71" i="16"/>
  <c r="AF71" i="16"/>
  <c r="AF223" i="16"/>
  <c r="AJ40" i="6"/>
  <c r="N40" i="6"/>
  <c r="N40" i="7"/>
  <c r="N40" i="23"/>
  <c r="N92" i="23"/>
  <c r="U32" i="28"/>
  <c r="R32" i="28"/>
  <c r="AF161" i="16"/>
  <c r="Z161" i="16"/>
  <c r="AJ37" i="6"/>
  <c r="AJ37" i="7"/>
  <c r="AJ37" i="8"/>
  <c r="AL37" i="8"/>
  <c r="AL23" i="7"/>
  <c r="AL24" i="7"/>
  <c r="AO11" i="8"/>
  <c r="AE11" i="8"/>
  <c r="AG11" i="8"/>
  <c r="AK15" i="9"/>
  <c r="AK15" i="7"/>
  <c r="AK15" i="8"/>
  <c r="AJ13" i="6"/>
  <c r="AJ13" i="7"/>
  <c r="AF13" i="23"/>
  <c r="AF65" i="23"/>
  <c r="N9" i="7"/>
  <c r="T9" i="7"/>
  <c r="AO9" i="8"/>
  <c r="AE9" i="8"/>
  <c r="AG9" i="8"/>
  <c r="AE18" i="16"/>
  <c r="T17" i="7"/>
  <c r="AO17" i="9"/>
  <c r="AE17" i="9"/>
  <c r="AG17" i="9"/>
  <c r="AJ29" i="6"/>
  <c r="N29" i="6"/>
  <c r="N29" i="7"/>
  <c r="T29" i="7"/>
  <c r="AO29" i="8"/>
  <c r="AE29" i="8"/>
  <c r="AB29" i="23"/>
  <c r="AB81" i="23"/>
  <c r="Z195" i="16"/>
  <c r="K195" i="21"/>
  <c r="N195" i="21"/>
  <c r="W14" i="25"/>
  <c r="AK7" i="6"/>
  <c r="AK55" i="6"/>
  <c r="AK60" i="6"/>
  <c r="AK5" i="7"/>
  <c r="AG5" i="23"/>
  <c r="AG57" i="23"/>
  <c r="W9" i="25"/>
  <c r="W15" i="25"/>
  <c r="AJ27" i="6"/>
  <c r="N27" i="6"/>
  <c r="N27" i="7"/>
  <c r="T27" i="7"/>
  <c r="AP27" i="8"/>
  <c r="AF27" i="8"/>
  <c r="AC27" i="23"/>
  <c r="AC79" i="23"/>
  <c r="AF100" i="16"/>
  <c r="Z100" i="16"/>
  <c r="Z182" i="16"/>
  <c r="AF182" i="16"/>
  <c r="Z194" i="16"/>
  <c r="AF194" i="16"/>
  <c r="AF52" i="16"/>
  <c r="N11" i="21"/>
  <c r="K11" i="21"/>
  <c r="AF145" i="16"/>
  <c r="Z145" i="16"/>
  <c r="AJ19" i="6"/>
  <c r="N19" i="6"/>
  <c r="N19" i="7"/>
  <c r="T19" i="7"/>
  <c r="AO19" i="8"/>
  <c r="AE19" i="8"/>
  <c r="AB19" i="23"/>
  <c r="AB71" i="23"/>
  <c r="AG33" i="9"/>
  <c r="AO33" i="9"/>
  <c r="AE33" i="9"/>
  <c r="AK50" i="9"/>
  <c r="AK50" i="6"/>
  <c r="AK50" i="7"/>
  <c r="AK50" i="8"/>
  <c r="Y12" i="16"/>
  <c r="AE12" i="16"/>
  <c r="AJ21" i="6"/>
  <c r="N21" i="6"/>
  <c r="N21" i="7"/>
  <c r="T21" i="7"/>
  <c r="AM21" i="7"/>
  <c r="Z80" i="16"/>
  <c r="AF80" i="16"/>
  <c r="U9" i="28"/>
  <c r="R9" i="28"/>
  <c r="N15" i="7"/>
  <c r="N15" i="9"/>
  <c r="T15" i="9"/>
  <c r="AM15" i="9"/>
  <c r="Z2" i="16"/>
  <c r="K2" i="21"/>
  <c r="S7" i="21"/>
  <c r="Y7" i="21"/>
  <c r="AG7" i="21"/>
  <c r="Z223" i="16"/>
  <c r="K223" i="21"/>
  <c r="N223" i="21"/>
  <c r="AG25" i="9"/>
  <c r="AJ25" i="6"/>
  <c r="N25" i="6"/>
  <c r="N25" i="7"/>
  <c r="T25" i="7"/>
  <c r="AO25" i="9"/>
  <c r="AE25" i="9"/>
  <c r="AG53" i="8"/>
  <c r="AJ44" i="6"/>
  <c r="N44" i="6"/>
  <c r="N44" i="7"/>
  <c r="T44" i="7"/>
  <c r="AM44" i="7"/>
  <c r="AJ23" i="7"/>
  <c r="AF23" i="23"/>
  <c r="AF75" i="23"/>
  <c r="AE10" i="21"/>
  <c r="Z49" i="17"/>
  <c r="AE49" i="17"/>
  <c r="AJ6" i="17"/>
  <c r="AJ14" i="6"/>
  <c r="N14" i="6"/>
  <c r="N14" i="7"/>
  <c r="T14" i="7"/>
  <c r="AO14" i="8"/>
  <c r="AE14" i="8"/>
  <c r="AG14" i="8"/>
  <c r="R11" i="25"/>
  <c r="AJ24" i="7"/>
  <c r="AJ24" i="8"/>
  <c r="AL24" i="8"/>
  <c r="N43" i="23"/>
  <c r="N95" i="23"/>
  <c r="AK17" i="9"/>
  <c r="AK17" i="6"/>
  <c r="AK17" i="7"/>
  <c r="AK17" i="8"/>
  <c r="N122" i="21"/>
  <c r="K122" i="21"/>
  <c r="N83" i="21"/>
  <c r="K83" i="21"/>
  <c r="Y24" i="16"/>
  <c r="AE24" i="16"/>
  <c r="AM5" i="7"/>
  <c r="Y18" i="16"/>
  <c r="J18" i="21"/>
  <c r="M18" i="21"/>
  <c r="AJ26" i="6"/>
  <c r="AJ26" i="7"/>
  <c r="AL26" i="7"/>
  <c r="R14" i="25"/>
  <c r="N5" i="7"/>
  <c r="T5" i="7"/>
  <c r="AO5" i="8"/>
  <c r="AE5" i="8"/>
  <c r="AB5" i="23"/>
  <c r="AB57" i="23"/>
  <c r="R9" i="25"/>
  <c r="R15" i="25"/>
  <c r="AJ24" i="6"/>
  <c r="N24" i="6"/>
  <c r="N24" i="7"/>
  <c r="T24" i="7"/>
  <c r="AM24" i="7"/>
  <c r="Z116" i="16"/>
  <c r="AF116" i="16"/>
  <c r="E9" i="28"/>
  <c r="E12" i="28"/>
  <c r="H12" i="28"/>
  <c r="H9" i="28"/>
  <c r="Z72" i="16"/>
  <c r="AF72" i="16"/>
  <c r="AJ42" i="7"/>
  <c r="AL42" i="7"/>
  <c r="Z52" i="16"/>
  <c r="K52" i="21"/>
  <c r="N52" i="21"/>
  <c r="AK38" i="8"/>
  <c r="AJ38" i="6"/>
  <c r="AK38" i="6"/>
  <c r="AK38" i="7"/>
  <c r="AK38" i="9"/>
  <c r="AJ23" i="6"/>
  <c r="N23" i="6"/>
  <c r="N23" i="7"/>
  <c r="N23" i="9"/>
  <c r="T23" i="9"/>
  <c r="AM23" i="9"/>
  <c r="N10" i="7"/>
  <c r="T10" i="7"/>
  <c r="AM10" i="7"/>
  <c r="Y42" i="16"/>
  <c r="AE42" i="16"/>
  <c r="R31" i="28"/>
  <c r="U31" i="28"/>
  <c r="N7" i="7"/>
  <c r="T7" i="7"/>
  <c r="AM7" i="7"/>
  <c r="Z11" i="16"/>
  <c r="AF11" i="16"/>
  <c r="Z94" i="17"/>
  <c r="AE94" i="17"/>
  <c r="N65" i="6"/>
  <c r="T20" i="7"/>
  <c r="AM20" i="7"/>
  <c r="Z64" i="16"/>
  <c r="AF64" i="16"/>
  <c r="AJ48" i="6"/>
  <c r="N48" i="6"/>
  <c r="N48" i="7"/>
  <c r="T48" i="7"/>
  <c r="AM48" i="7"/>
  <c r="Z96" i="17"/>
  <c r="AE96" i="17"/>
  <c r="AJ46" i="6"/>
  <c r="N46" i="6"/>
  <c r="N46" i="7"/>
  <c r="T46" i="7"/>
  <c r="AP46" i="8"/>
  <c r="AF46" i="8"/>
  <c r="AC46" i="23"/>
  <c r="AC98" i="23"/>
  <c r="AJ32" i="6"/>
  <c r="N32" i="6"/>
  <c r="N32" i="7"/>
  <c r="N32" i="23"/>
  <c r="N84" i="23"/>
  <c r="AJ22" i="6"/>
  <c r="N22" i="6"/>
  <c r="N22" i="7"/>
  <c r="T22" i="7"/>
  <c r="AM22" i="7"/>
  <c r="Z103" i="16"/>
  <c r="AF103" i="16"/>
  <c r="H8" i="28"/>
  <c r="H6" i="28"/>
  <c r="E6" i="28"/>
  <c r="AJ7" i="6"/>
  <c r="N7" i="6"/>
  <c r="N55" i="6"/>
  <c r="N60" i="6"/>
  <c r="N6" i="7"/>
  <c r="T6" i="7"/>
  <c r="AM6" i="7"/>
  <c r="E8" i="28"/>
  <c r="AJ20" i="6"/>
  <c r="N20" i="6"/>
  <c r="N20" i="7"/>
  <c r="N20" i="9"/>
  <c r="T20" i="9"/>
  <c r="AM20" i="9"/>
  <c r="U21" i="28"/>
  <c r="U26" i="28"/>
  <c r="R26" i="28"/>
  <c r="R21" i="28"/>
  <c r="U16" i="28"/>
  <c r="AJ33" i="6"/>
  <c r="N33" i="6"/>
  <c r="N33" i="7"/>
  <c r="T33" i="7"/>
  <c r="AM33" i="7"/>
  <c r="R16" i="28"/>
  <c r="AJ11" i="6"/>
  <c r="N11" i="6"/>
  <c r="N11" i="7"/>
  <c r="T11" i="7"/>
  <c r="AM11" i="7"/>
  <c r="Z54" i="16"/>
  <c r="AF54" i="16"/>
  <c r="AJ43" i="6"/>
  <c r="N43" i="6"/>
  <c r="N43" i="7"/>
  <c r="T43" i="7"/>
  <c r="AM43" i="7"/>
  <c r="I8" i="28"/>
  <c r="I7" i="28"/>
  <c r="F8" i="28"/>
  <c r="N63" i="6"/>
  <c r="AJ8" i="6"/>
  <c r="N8" i="6"/>
  <c r="N8" i="7"/>
  <c r="T8" i="7"/>
  <c r="AM8" i="7"/>
  <c r="F7" i="28"/>
  <c r="AJ50" i="6"/>
  <c r="N50" i="6"/>
  <c r="N50" i="7"/>
  <c r="T50" i="7"/>
  <c r="AM50" i="7"/>
  <c r="Z220" i="16"/>
  <c r="AF220" i="16"/>
  <c r="AJ31" i="6"/>
  <c r="N31" i="6"/>
  <c r="N31" i="7"/>
  <c r="T31" i="7"/>
  <c r="AP31" i="8"/>
  <c r="AF31" i="8"/>
  <c r="AC31" i="23"/>
  <c r="AC83" i="23"/>
  <c r="AJ17" i="6"/>
  <c r="N17" i="6"/>
  <c r="N17" i="7"/>
  <c r="L66" i="6"/>
  <c r="L64" i="6"/>
  <c r="L70" i="6"/>
  <c r="N64" i="6"/>
  <c r="AJ42" i="6"/>
  <c r="N42" i="6"/>
  <c r="N42" i="7"/>
  <c r="T42" i="7"/>
  <c r="AP42" i="8"/>
  <c r="AF42" i="8"/>
  <c r="AC42" i="23"/>
  <c r="AC9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33" authorId="0" shapeId="0" xr:uid="{46142DF3-A13C-4430-881C-71F79E26838F}">
      <text>
        <r>
          <rPr>
            <sz val="9"/>
            <color indexed="81"/>
            <rFont val="Segoe UI"/>
            <family val="2"/>
          </rPr>
          <t>Econômico: CDE Covid TE; Financeiro: CDE Energia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55200B-5F3B-4B5E-8964-9E916895BB9F}" name="Conexão" type="7" refreshedVersion="8" background="1" saveData="1"/>
  <connection id="2" xr16:uid="{C8DAE125-5ACB-4725-8243-77DE43CEECAF}" name="Conexão1" type="7" refreshedVersion="8" background="1" saveData="1"/>
  <connection id="3" xr16:uid="{DFBDA2D9-18F8-4590-9ABB-53A7A3ABC54C}" name="Conexão2" type="7" refreshedVersion="8" background="1" saveData="1"/>
</connections>
</file>

<file path=xl/sharedStrings.xml><?xml version="1.0" encoding="utf-8"?>
<sst xmlns="http://schemas.openxmlformats.org/spreadsheetml/2006/main" count="14462" uniqueCount="1045">
  <si>
    <t>TipoMercado</t>
  </si>
  <si>
    <t>Subgrupo</t>
  </si>
  <si>
    <t>Modalidade</t>
  </si>
  <si>
    <t>Classe</t>
  </si>
  <si>
    <t>Subclasse</t>
  </si>
  <si>
    <t>Detalhe</t>
  </si>
  <si>
    <t>Agente</t>
  </si>
  <si>
    <t>Posto</t>
  </si>
  <si>
    <t>AnoMes</t>
  </si>
  <si>
    <t>D</t>
  </si>
  <si>
    <t>Daj</t>
  </si>
  <si>
    <t>TUSD_E</t>
  </si>
  <si>
    <t>TUSD_Eaj</t>
  </si>
  <si>
    <t>TE_E</t>
  </si>
  <si>
    <t>TE_Eaj</t>
  </si>
  <si>
    <t>UC</t>
  </si>
  <si>
    <t>OPÇÃO</t>
  </si>
  <si>
    <t>CóD. AUX.</t>
  </si>
  <si>
    <t>CóD. AUX. TUSD R$/kW</t>
  </si>
  <si>
    <t>CóD. AUX. TUSD R$/MWh</t>
  </si>
  <si>
    <t>CóD. AUX. TE R$/MWh</t>
  </si>
  <si>
    <t>Regular</t>
  </si>
  <si>
    <t>B1</t>
  </si>
  <si>
    <t>Convencional</t>
  </si>
  <si>
    <t>Residencial</t>
  </si>
  <si>
    <t>Não se aplica</t>
  </si>
  <si>
    <t>CATIVO</t>
  </si>
  <si>
    <t>Residencial baixa renda – faixa 01</t>
  </si>
  <si>
    <t>Residencial baixa renda – faixa 02</t>
  </si>
  <si>
    <t>Residencial baixa renda – faixa 03</t>
  </si>
  <si>
    <t>Residencial baixa renda – faixa 04</t>
  </si>
  <si>
    <t>B3</t>
  </si>
  <si>
    <t>Industrial</t>
  </si>
  <si>
    <t>A4</t>
  </si>
  <si>
    <t>Azul</t>
  </si>
  <si>
    <t>Ponta</t>
  </si>
  <si>
    <t>Fora ponta</t>
  </si>
  <si>
    <t>Verde</t>
  </si>
  <si>
    <t>Comercial</t>
  </si>
  <si>
    <t>B2</t>
  </si>
  <si>
    <t>Rural</t>
  </si>
  <si>
    <t>Sistema de Compensação</t>
  </si>
  <si>
    <t>Poder público</t>
  </si>
  <si>
    <t>B4</t>
  </si>
  <si>
    <t>Iluminação pública</t>
  </si>
  <si>
    <t>Iluminação pública – B4a</t>
  </si>
  <si>
    <t>Serviço público</t>
  </si>
  <si>
    <t>Água, esgoto e saneamento</t>
  </si>
  <si>
    <t>Agropecuária rural</t>
  </si>
  <si>
    <t>IRRIG./AQUIC.</t>
  </si>
  <si>
    <t>IRRIG./AQUIC. PR</t>
  </si>
  <si>
    <t>Refaturamento - Regular</t>
  </si>
  <si>
    <t>TIPO ALERTA</t>
  </si>
  <si>
    <t>DETALHE ALERTA</t>
  </si>
  <si>
    <t>ABA</t>
  </si>
  <si>
    <t>LINHA</t>
  </si>
  <si>
    <t>COLUNA</t>
  </si>
  <si>
    <t>VARIÁVEL AUXILIAR</t>
  </si>
  <si>
    <t>SUBGRUPO</t>
  </si>
  <si>
    <t>MODALIDADE</t>
  </si>
  <si>
    <t>CLASSE</t>
  </si>
  <si>
    <t>SUBCLASSE</t>
  </si>
  <si>
    <t>DETALHE</t>
  </si>
  <si>
    <t>NOME UC</t>
  </si>
  <si>
    <t>POSTO</t>
  </si>
  <si>
    <t>UNIDADE</t>
  </si>
  <si>
    <t>SOMA MERCADO</t>
  </si>
  <si>
    <t>Energia horária</t>
  </si>
  <si>
    <t>MWh</t>
  </si>
  <si>
    <t>EP</t>
  </si>
  <si>
    <t>EFP</t>
  </si>
  <si>
    <t>kW</t>
  </si>
  <si>
    <t>DP</t>
  </si>
  <si>
    <t>DFP</t>
  </si>
  <si>
    <t>E</t>
  </si>
  <si>
    <t>APE</t>
  </si>
  <si>
    <t>Geração</t>
  </si>
  <si>
    <t>B</t>
  </si>
  <si>
    <t>TIPO 01</t>
  </si>
  <si>
    <t>TIPO 02</t>
  </si>
  <si>
    <t>EINT</t>
  </si>
  <si>
    <t>Energia convencional</t>
  </si>
  <si>
    <t>Branca</t>
  </si>
  <si>
    <t>Energia convencional pré-pagamento</t>
  </si>
  <si>
    <t>Convencional pré-pagamento</t>
  </si>
  <si>
    <t>Cooperativa de eletrificação rural</t>
  </si>
  <si>
    <t>Serviço público de irrigação rural</t>
  </si>
  <si>
    <t>Iluminação pública – B4b</t>
  </si>
  <si>
    <t>CHAVE TUSD</t>
  </si>
  <si>
    <t>44440A4AzulNão se aplicaNão se aplicaNão se aplicaNão se aplicaFora ponta</t>
  </si>
  <si>
    <t>44470A4AzulNão se aplicaNão se aplicaNão se aplicaNão se aplicaFora ponta</t>
  </si>
  <si>
    <t>44501A4AzulNão se aplicaNão se aplicaNão se aplicaNão se aplicaFora ponta</t>
  </si>
  <si>
    <t>44531A4AzulNão se aplicaNão se aplicaNão se aplicaNão se aplicaFora ponta</t>
  </si>
  <si>
    <t>44562A4AzulNão se aplicaNão se aplicaNão se aplicaNão se aplicaFora ponta</t>
  </si>
  <si>
    <t>44593A4AzulNão se aplicaNão se aplicaNão se aplicaNão se aplicaFora ponta</t>
  </si>
  <si>
    <t>44621A4AzulNão se aplicaNão se aplicaNão se aplicaNão se aplicaFora ponta</t>
  </si>
  <si>
    <t>44652A4AzulNão se aplicaNão se aplicaNão se aplicaNão se aplicaFora ponta</t>
  </si>
  <si>
    <t>44682A4AzulNão se aplicaNão se aplicaNão se aplicaNão se aplicaFora ponta</t>
  </si>
  <si>
    <t>44713A4AzulNão se aplicaNão se aplicaNão se aplicaNão se aplicaFora ponta</t>
  </si>
  <si>
    <t>44743A4AzulNão se aplicaNão se aplicaNão se aplicaNão se aplicaFora ponta</t>
  </si>
  <si>
    <t>44774A4AzulNão se aplicaNão se aplicaNão se aplicaNão se aplicaFora ponta</t>
  </si>
  <si>
    <t>44440A4AzulNão se aplicaNão se aplicaNão se aplicaNão se aplicaPonta</t>
  </si>
  <si>
    <t>44470A4AzulNão se aplicaNão se aplicaNão se aplicaNão se aplicaPonta</t>
  </si>
  <si>
    <t>44501A4AzulNão se aplicaNão se aplicaNão se aplicaNão se aplicaPonta</t>
  </si>
  <si>
    <t>44531A4AzulNão se aplicaNão se aplicaNão se aplicaNão se aplicaPonta</t>
  </si>
  <si>
    <t>44562A4AzulNão se aplicaNão se aplicaNão se aplicaNão se aplicaPonta</t>
  </si>
  <si>
    <t>44593A4AzulNão se aplicaNão se aplicaNão se aplicaNão se aplicaPonta</t>
  </si>
  <si>
    <t>44621A4AzulNão se aplicaNão se aplicaNão se aplicaNão se aplicaPonta</t>
  </si>
  <si>
    <t>44652A4AzulNão se aplicaNão se aplicaNão se aplicaNão se aplicaPonta</t>
  </si>
  <si>
    <t>44682A4AzulNão se aplicaNão se aplicaNão se aplicaNão se aplicaPonta</t>
  </si>
  <si>
    <t>44713A4AzulNão se aplicaNão se aplicaNão se aplicaNão se aplicaPonta</t>
  </si>
  <si>
    <t>44743A4AzulNão se aplicaNão se aplicaNão se aplicaNão se aplicaPonta</t>
  </si>
  <si>
    <t>44774A4AzulNão se aplicaNão se aplicaNão se aplicaNão se aplicaPonta</t>
  </si>
  <si>
    <t>44440A4VerdeNão se aplicaNão se aplicaNão se aplicaNão se aplicaFora ponta</t>
  </si>
  <si>
    <t>44470A4VerdeNão se aplicaNão se aplicaNão se aplicaNão se aplicaFora ponta</t>
  </si>
  <si>
    <t>44501A4VerdeNão se aplicaNão se aplicaNão se aplicaNão se aplicaFora ponta</t>
  </si>
  <si>
    <t>44531A4VerdeNão se aplicaNão se aplicaNão se aplicaNão se aplicaFora ponta</t>
  </si>
  <si>
    <t>44562A4VerdeNão se aplicaNão se aplicaNão se aplicaNão se aplicaFora ponta</t>
  </si>
  <si>
    <t>44593A4VerdeNão se aplicaNão se aplicaNão se aplicaNão se aplicaFora ponta</t>
  </si>
  <si>
    <t>44621A4VerdeNão se aplicaNão se aplicaNão se aplicaNão se aplicaFora ponta</t>
  </si>
  <si>
    <t>44652A4VerdeNão se aplicaNão se aplicaNão se aplicaNão se aplicaFora ponta</t>
  </si>
  <si>
    <t>44682A4VerdeNão se aplicaNão se aplicaNão se aplicaNão se aplicaFora ponta</t>
  </si>
  <si>
    <t>44713A4VerdeNão se aplicaNão se aplicaNão se aplicaNão se aplicaFora ponta</t>
  </si>
  <si>
    <t>44743A4VerdeNão se aplicaNão se aplicaNão se aplicaNão se aplicaFora ponta</t>
  </si>
  <si>
    <t>44774A4VerdeNão se aplicaNão se aplicaNão se aplicaNão se aplicaFora ponta</t>
  </si>
  <si>
    <t>44440A4VerdeNão se aplicaNão se aplicaNão se aplicaNão se aplicaNão se aplica</t>
  </si>
  <si>
    <t>44470A4VerdeNão se aplicaNão se aplicaNão se aplicaNão se aplicaNão se aplica</t>
  </si>
  <si>
    <t>44501A4VerdeNão se aplicaNão se aplicaNão se aplicaNão se aplicaNão se aplica</t>
  </si>
  <si>
    <t>44531A4VerdeNão se aplicaNão se aplicaNão se aplicaNão se aplicaNão se aplica</t>
  </si>
  <si>
    <t>44562A4VerdeNão se aplicaNão se aplicaNão se aplicaNão se aplicaNão se aplica</t>
  </si>
  <si>
    <t>44593A4VerdeNão se aplicaNão se aplicaNão se aplicaNão se aplicaNão se aplica</t>
  </si>
  <si>
    <t>44621A4VerdeNão se aplicaNão se aplicaNão se aplicaNão se aplicaNão se aplica</t>
  </si>
  <si>
    <t>44652A4VerdeNão se aplicaNão se aplicaNão se aplicaNão se aplicaNão se aplica</t>
  </si>
  <si>
    <t>44682A4VerdeNão se aplicaNão se aplicaNão se aplicaNão se aplicaNão se aplica</t>
  </si>
  <si>
    <t>44713A4VerdeNão se aplicaNão se aplicaNão se aplicaNão se aplicaNão se aplica</t>
  </si>
  <si>
    <t>44743A4VerdeNão se aplicaNão se aplicaNão se aplicaNão se aplicaNão se aplica</t>
  </si>
  <si>
    <t>44774A4VerdeNão se aplicaNão se aplicaNão se aplicaNão se aplicaNão se aplica</t>
  </si>
  <si>
    <t>44440A4VerdeNão se aplicaNão se aplicaNão se aplicaNão se aplicaPonta</t>
  </si>
  <si>
    <t>44470A4VerdeNão se aplicaNão se aplicaNão se aplicaNão se aplicaPonta</t>
  </si>
  <si>
    <t>44501A4VerdeNão se aplicaNão se aplicaNão se aplicaNão se aplicaPonta</t>
  </si>
  <si>
    <t>44531A4VerdeNão se aplicaNão se aplicaNão se aplicaNão se aplicaPonta</t>
  </si>
  <si>
    <t>44562A4VerdeNão se aplicaNão se aplicaNão se aplicaNão se aplicaPonta</t>
  </si>
  <si>
    <t>44593A4VerdeNão se aplicaNão se aplicaNão se aplicaNão se aplicaPonta</t>
  </si>
  <si>
    <t>44621A4VerdeNão se aplicaNão se aplicaNão se aplicaNão se aplicaPonta</t>
  </si>
  <si>
    <t>44652A4VerdeNão se aplicaNão se aplicaNão se aplicaNão se aplicaPonta</t>
  </si>
  <si>
    <t>44682A4VerdeNão se aplicaNão se aplicaNão se aplicaNão se aplicaPonta</t>
  </si>
  <si>
    <t>44713A4VerdeNão se aplicaNão se aplicaNão se aplicaNão se aplicaPonta</t>
  </si>
  <si>
    <t>44743A4VerdeNão se aplicaNão se aplicaNão se aplicaNão se aplicaPonta</t>
  </si>
  <si>
    <t>44774A4VerdeNão se aplicaNão se aplicaNão se aplicaNão se aplicaPonta</t>
  </si>
  <si>
    <t>44440B1ConvencionalResidencialResidencialNão se aplicaNão se aplicaNão se aplica</t>
  </si>
  <si>
    <t>44470B1ConvencionalResidencialResidencialNão se aplicaNão se aplicaNão se aplica</t>
  </si>
  <si>
    <t>44501B1ConvencionalResidencialResidencialNão se aplicaNão se aplicaNão se aplica</t>
  </si>
  <si>
    <t>44531B1ConvencionalResidencialResidencialNão se aplicaNão se aplicaNão se aplica</t>
  </si>
  <si>
    <t>44562B1ConvencionalResidencialResidencialNão se aplicaNão se aplicaNão se aplica</t>
  </si>
  <si>
    <t>44593B1ConvencionalResidencialResidencialNão se aplicaNão se aplicaNão se aplica</t>
  </si>
  <si>
    <t>44621B1ConvencionalResidencialResidencialNão se aplicaNão se aplicaNão se aplica</t>
  </si>
  <si>
    <t>44652B1ConvencionalResidencialResidencialNão se aplicaNão se aplicaNão se aplica</t>
  </si>
  <si>
    <t>44682B1ConvencionalResidencialResidencialNão se aplicaNão se aplicaNão se aplica</t>
  </si>
  <si>
    <t>44713B1ConvencionalResidencialResidencialNão se aplicaNão se aplicaNão se aplica</t>
  </si>
  <si>
    <t>44743B1ConvencionalResidencialResidencialNão se aplicaNão se aplicaNão se aplica</t>
  </si>
  <si>
    <t>44774B1ConvencionalResidencialResidencialNão se aplicaNão se aplicaNão se aplica</t>
  </si>
  <si>
    <t>44440B1ConvencionalResidencialResidencial baixa renda – faixa 01Não se aplicaNão se aplicaNão se aplica</t>
  </si>
  <si>
    <t>44470B1ConvencionalResidencialResidencial baixa renda – faixa 01Não se aplicaNão se aplicaNão se aplica</t>
  </si>
  <si>
    <t>44501B1ConvencionalResidencialResidencial baixa renda – faixa 01Não se aplicaNão se aplicaNão se aplica</t>
  </si>
  <si>
    <t>44531B1ConvencionalResidencialResidencial baixa renda – faixa 01Não se aplicaNão se aplicaNão se aplica</t>
  </si>
  <si>
    <t>44562B1ConvencionalResidencialResidencial baixa renda – faixa 01Não se aplicaNão se aplicaNão se aplica</t>
  </si>
  <si>
    <t>44593B1ConvencionalResidencialResidencial baixa renda – faixa 01Não se aplicaNão se aplicaNão se aplica</t>
  </si>
  <si>
    <t>44621B1ConvencionalResidencialResidencial baixa renda – faixa 01Não se aplicaNão se aplicaNão se aplica</t>
  </si>
  <si>
    <t>44652B1ConvencionalResidencialResidencial baixa renda – faixa 01Não se aplicaNão se aplicaNão se aplica</t>
  </si>
  <si>
    <t>44682B1ConvencionalResidencialResidencial baixa renda – faixa 01Não se aplicaNão se aplicaNão se aplica</t>
  </si>
  <si>
    <t>44713B1ConvencionalResidencialResidencial baixa renda – faixa 01Não se aplicaNão se aplicaNão se aplica</t>
  </si>
  <si>
    <t>44743B1ConvencionalResidencialResidencial baixa renda – faixa 01Não se aplicaNão se aplicaNão se aplica</t>
  </si>
  <si>
    <t>44774B1ConvencionalResidencialResidencial baixa renda – faixa 01Não se aplicaNão se aplicaNão se aplica</t>
  </si>
  <si>
    <t>44440B1ConvencionalResidencialResidencial baixa renda – faixa 02Não se aplicaNão se aplicaNão se aplica</t>
  </si>
  <si>
    <t>44470B1ConvencionalResidencialResidencial baixa renda – faixa 02Não se aplicaNão se aplicaNão se aplica</t>
  </si>
  <si>
    <t>44501B1ConvencionalResidencialResidencial baixa renda – faixa 02Não se aplicaNão se aplicaNão se aplica</t>
  </si>
  <si>
    <t>44531B1ConvencionalResidencialResidencial baixa renda – faixa 02Não se aplicaNão se aplicaNão se aplica</t>
  </si>
  <si>
    <t>44562B1ConvencionalResidencialResidencial baixa renda – faixa 02Não se aplicaNão se aplicaNão se aplica</t>
  </si>
  <si>
    <t>44593B1ConvencionalResidencialResidencial baixa renda – faixa 02Não se aplicaNão se aplicaNão se aplica</t>
  </si>
  <si>
    <t>44621B1ConvencionalResidencialResidencial baixa renda – faixa 02Não se aplicaNão se aplicaNão se aplica</t>
  </si>
  <si>
    <t>44652B1ConvencionalResidencialResidencial baixa renda – faixa 02Não se aplicaNão se aplicaNão se aplica</t>
  </si>
  <si>
    <t>44682B1ConvencionalResidencialResidencial baixa renda – faixa 02Não se aplicaNão se aplicaNão se aplica</t>
  </si>
  <si>
    <t>44713B1ConvencionalResidencialResidencial baixa renda – faixa 02Não se aplicaNão se aplicaNão se aplica</t>
  </si>
  <si>
    <t>44743B1ConvencionalResidencialResidencial baixa renda – faixa 02Não se aplicaNão se aplicaNão se aplica</t>
  </si>
  <si>
    <t>44774B1ConvencionalResidencialResidencial baixa renda – faixa 02Não se aplicaNão se aplicaNão se aplica</t>
  </si>
  <si>
    <t>44440B1ConvencionalResidencialResidencial baixa renda – faixa 03Não se aplicaNão se aplicaNão se aplica</t>
  </si>
  <si>
    <t>44470B1ConvencionalResidencialResidencial baixa renda – faixa 03Não se aplicaNão se aplicaNão se aplica</t>
  </si>
  <si>
    <t>44501B1ConvencionalResidencialResidencial baixa renda – faixa 03Não se aplicaNão se aplicaNão se aplica</t>
  </si>
  <si>
    <t>44531B1ConvencionalResidencialResidencial baixa renda – faixa 03Não se aplicaNão se aplicaNão se aplica</t>
  </si>
  <si>
    <t>44562B1ConvencionalResidencialResidencial baixa renda – faixa 03Não se aplicaNão se aplicaNão se aplica</t>
  </si>
  <si>
    <t>44593B1ConvencionalResidencialResidencial baixa renda – faixa 03Não se aplicaNão se aplicaNão se aplica</t>
  </si>
  <si>
    <t>44621B1ConvencionalResidencialResidencial baixa renda – faixa 03Não se aplicaNão se aplicaNão se aplica</t>
  </si>
  <si>
    <t>44652B1ConvencionalResidencialResidencial baixa renda – faixa 03Não se aplicaNão se aplicaNão se aplica</t>
  </si>
  <si>
    <t>44682B1ConvencionalResidencialResidencial baixa renda – faixa 03Não se aplicaNão se aplicaNão se aplica</t>
  </si>
  <si>
    <t>44713B1ConvencionalResidencialResidencial baixa renda – faixa 03Não se aplicaNão se aplicaNão se aplica</t>
  </si>
  <si>
    <t>44743B1ConvencionalResidencialResidencial baixa renda – faixa 03Não se aplicaNão se aplicaNão se aplica</t>
  </si>
  <si>
    <t>44774B1ConvencionalResidencialResidencial baixa renda – faixa 03Não se aplicaNão se aplicaNão se aplica</t>
  </si>
  <si>
    <t>44440B1ConvencionalResidencialResidencial baixa renda – faixa 04Não se aplicaNão se aplicaNão se aplica</t>
  </si>
  <si>
    <t>44531B1ConvencionalResidencialResidencial baixa renda – faixa 04Não se aplicaNão se aplicaNão se aplica</t>
  </si>
  <si>
    <t>44562B1ConvencionalResidencialResidencial baixa renda – faixa 04Não se aplicaNão se aplicaNão se aplica</t>
  </si>
  <si>
    <t>44593B1ConvencionalResidencialResidencial baixa renda – faixa 04Não se aplicaNão se aplicaNão se aplica</t>
  </si>
  <si>
    <t>44621B1ConvencionalResidencialResidencial baixa renda – faixa 04Não se aplicaNão se aplicaNão se aplica</t>
  </si>
  <si>
    <t>44652B1ConvencionalResidencialResidencial baixa renda – faixa 04Não se aplicaNão se aplicaNão se aplica</t>
  </si>
  <si>
    <t>44682B1ConvencionalResidencialResidencial baixa renda – faixa 04Não se aplicaNão se aplicaNão se aplica</t>
  </si>
  <si>
    <t>44713B1ConvencionalResidencialResidencial baixa renda – faixa 04Não se aplicaNão se aplicaNão se aplica</t>
  </si>
  <si>
    <t>44743B1ConvencionalResidencialResidencial baixa renda – faixa 04Não se aplicaNão se aplicaNão se aplica</t>
  </si>
  <si>
    <t>44774B1ConvencionalResidencialResidencial baixa renda – faixa 04Não se aplicaNão se aplicaNão se aplica</t>
  </si>
  <si>
    <t>44440B2ConvencionalRuralNão se aplicaNão se aplicaNão se aplicaNão se aplica</t>
  </si>
  <si>
    <t>44470B2ConvencionalRuralNão se aplicaNão se aplicaNão se aplicaNão se aplica</t>
  </si>
  <si>
    <t>44501B2ConvencionalRuralNão se aplicaNão se aplicaNão se aplicaNão se aplica</t>
  </si>
  <si>
    <t>44531B2ConvencionalRuralNão se aplicaNão se aplicaNão se aplicaNão se aplica</t>
  </si>
  <si>
    <t>44562B2ConvencionalRuralNão se aplicaNão se aplicaNão se aplicaNão se aplica</t>
  </si>
  <si>
    <t>44593B2ConvencionalRuralNão se aplicaNão se aplicaNão se aplicaNão se aplica</t>
  </si>
  <si>
    <t>44621B2ConvencionalRuralNão se aplicaNão se aplicaNão se aplicaNão se aplica</t>
  </si>
  <si>
    <t>44652B2ConvencionalRuralNão se aplicaNão se aplicaNão se aplicaNão se aplica</t>
  </si>
  <si>
    <t>44682B2ConvencionalRuralNão se aplicaNão se aplicaNão se aplicaNão se aplica</t>
  </si>
  <si>
    <t>44713B2ConvencionalRuralNão se aplicaNão se aplicaNão se aplicaNão se aplica</t>
  </si>
  <si>
    <t>44743B2ConvencionalRuralNão se aplicaNão se aplicaNão se aplicaNão se aplica</t>
  </si>
  <si>
    <t>44774B2ConvencionalRuralNão se aplicaNão se aplicaNão se aplicaNão se aplica</t>
  </si>
  <si>
    <t>44440B3ConvencionalNão se aplicaNão se aplicaNão se aplicaNão se aplicaNão se aplica</t>
  </si>
  <si>
    <t>44470B3ConvencionalNão se aplicaNão se aplicaNão se aplicaNão se aplicaNão se aplica</t>
  </si>
  <si>
    <t>44501B3ConvencionalNão se aplicaNão se aplicaNão se aplicaNão se aplicaNão se aplica</t>
  </si>
  <si>
    <t>44531B3ConvencionalNão se aplicaNão se aplicaNão se aplicaNão se aplicaNão se aplica</t>
  </si>
  <si>
    <t>44562B3ConvencionalNão se aplicaNão se aplicaNão se aplicaNão se aplicaNão se aplica</t>
  </si>
  <si>
    <t>44593B3ConvencionalNão se aplicaNão se aplicaNão se aplicaNão se aplicaNão se aplica</t>
  </si>
  <si>
    <t>44621B3ConvencionalNão se aplicaNão se aplicaNão se aplicaNão se aplicaNão se aplica</t>
  </si>
  <si>
    <t>44652B3ConvencionalNão se aplicaNão se aplicaNão se aplicaNão se aplicaNão se aplica</t>
  </si>
  <si>
    <t>44682B3ConvencionalNão se aplicaNão se aplicaNão se aplicaNão se aplicaNão se aplica</t>
  </si>
  <si>
    <t>44713B3ConvencionalNão se aplicaNão se aplicaNão se aplicaNão se aplicaNão se aplica</t>
  </si>
  <si>
    <t>44743B3ConvencionalNão se aplicaNão se aplicaNão se aplicaNão se aplicaNão se aplica</t>
  </si>
  <si>
    <t>44774B3ConvencionalNão se aplicaNão se aplicaNão se aplicaNão se aplicaNão se aplica</t>
  </si>
  <si>
    <t>44440B4ConvencionalIluminação públicaIluminação pública – B4aNão se aplicaNão se aplicaNão se aplica</t>
  </si>
  <si>
    <t>44470B4ConvencionalIluminação públicaIluminação pública – B4aNão se aplicaNão se aplicaNão se aplica</t>
  </si>
  <si>
    <t>44501B4ConvencionalIluminação públicaIluminação pública – B4aNão se aplicaNão se aplicaNão se aplica</t>
  </si>
  <si>
    <t>44531B4ConvencionalIluminação públicaIluminação pública – B4aNão se aplicaNão se aplicaNão se aplica</t>
  </si>
  <si>
    <t>44562B4ConvencionalIluminação públicaIluminação pública – B4aNão se aplicaNão se aplicaNão se aplica</t>
  </si>
  <si>
    <t>44593B4ConvencionalIluminação públicaIluminação pública – B4aNão se aplicaNão se aplicaNão se aplica</t>
  </si>
  <si>
    <t>44621B4ConvencionalIluminação públicaIluminação pública – B4aNão se aplicaNão se aplicaNão se aplica</t>
  </si>
  <si>
    <t>44652B4ConvencionalIluminação públicaIluminação pública – B4aNão se aplicaNão se aplicaNão se aplica</t>
  </si>
  <si>
    <t>44682B4ConvencionalIluminação públicaIluminação pública – B4aNão se aplicaNão se aplicaNão se aplica</t>
  </si>
  <si>
    <t>44713B4ConvencionalIluminação públicaIluminação pública – B4aNão se aplicaNão se aplicaNão se aplica</t>
  </si>
  <si>
    <t>44743B4ConvencionalIluminação públicaIluminação pública – B4aNão se aplicaNão se aplicaNão se aplica</t>
  </si>
  <si>
    <t>44774B4ConvencionalIluminação públicaIluminação pública – B4aNão se aplicaNão se aplicaNão se aplica</t>
  </si>
  <si>
    <t>CHAVE TE</t>
  </si>
  <si>
    <t>44440A4Energia horáriaNão se aplicaNão se aplicaNão se aplicaNão se aplicaFora ponta</t>
  </si>
  <si>
    <t>44470A4Energia horáriaNão se aplicaNão se aplicaNão se aplicaNão se aplicaFora ponta</t>
  </si>
  <si>
    <t>44501A4Energia horáriaNão se aplicaNão se aplicaNão se aplicaNão se aplicaFora ponta</t>
  </si>
  <si>
    <t>44531A4Energia horáriaNão se aplicaNão se aplicaNão se aplicaNão se aplicaFora ponta</t>
  </si>
  <si>
    <t>44562A4Energia horáriaNão se aplicaNão se aplicaNão se aplicaNão se aplicaFora ponta</t>
  </si>
  <si>
    <t>44593A4Energia horáriaNão se aplicaNão se aplicaNão se aplicaNão se aplicaFora ponta</t>
  </si>
  <si>
    <t>44621A4Energia horáriaNão se aplicaNão se aplicaNão se aplicaNão se aplicaFora ponta</t>
  </si>
  <si>
    <t>44652A4Energia horáriaNão se aplicaNão se aplicaNão se aplicaNão se aplicaFora ponta</t>
  </si>
  <si>
    <t>44682A4Energia horáriaNão se aplicaNão se aplicaNão se aplicaNão se aplicaFora ponta</t>
  </si>
  <si>
    <t>44713A4Energia horáriaNão se aplicaNão se aplicaNão se aplicaNão se aplicaFora ponta</t>
  </si>
  <si>
    <t>44743A4Energia horáriaNão se aplicaNão se aplicaNão se aplicaNão se aplicaFora ponta</t>
  </si>
  <si>
    <t>44774A4Energia horáriaNão se aplicaNão se aplicaNão se aplicaNão se aplicaFora ponta</t>
  </si>
  <si>
    <t>44440A4Energia horáriaNão se aplicaNão se aplicaNão se aplicaNão se aplicaPonta</t>
  </si>
  <si>
    <t>44470A4Energia horáriaNão se aplicaNão se aplicaNão se aplicaNão se aplicaPonta</t>
  </si>
  <si>
    <t>44501A4Energia horáriaNão se aplicaNão se aplicaNão se aplicaNão se aplicaPonta</t>
  </si>
  <si>
    <t>44531A4Energia horáriaNão se aplicaNão se aplicaNão se aplicaNão se aplicaPonta</t>
  </si>
  <si>
    <t>44562A4Energia horáriaNão se aplicaNão se aplicaNão se aplicaNão se aplicaPonta</t>
  </si>
  <si>
    <t>44593A4Energia horáriaNão se aplicaNão se aplicaNão se aplicaNão se aplicaPonta</t>
  </si>
  <si>
    <t>44621A4Energia horáriaNão se aplicaNão se aplicaNão se aplicaNão se aplicaPonta</t>
  </si>
  <si>
    <t>44652A4Energia horáriaNão se aplicaNão se aplicaNão se aplicaNão se aplicaPonta</t>
  </si>
  <si>
    <t>44682A4Energia horáriaNão se aplicaNão se aplicaNão se aplicaNão se aplicaPonta</t>
  </si>
  <si>
    <t>44713A4Energia horáriaNão se aplicaNão se aplicaNão se aplicaNão se aplicaPonta</t>
  </si>
  <si>
    <t>44743A4Energia horáriaNão se aplicaNão se aplicaNão se aplicaNão se aplicaPonta</t>
  </si>
  <si>
    <t>44774A4Energia horáriaNão se aplicaNão se aplicaNão se aplicaNão se aplicaPonta</t>
  </si>
  <si>
    <t>CUIDADO</t>
  </si>
  <si>
    <t>Desculpe, mas não foi encontrado posto Não se aplica, modalidade Energia horária, subgrupo A4 no banco de regras.</t>
  </si>
  <si>
    <t>Mercado_Receita</t>
  </si>
  <si>
    <t>S</t>
  </si>
  <si>
    <t>44440B1Energia convencionalResidencialResidencialNão se aplicaNão se aplicaNão se aplica</t>
  </si>
  <si>
    <t>44470B1Energia convencionalResidencialResidencialNão se aplicaNão se aplicaNão se aplica</t>
  </si>
  <si>
    <t>44501B1Energia convencionalResidencialResidencialNão se aplicaNão se aplicaNão se aplica</t>
  </si>
  <si>
    <t>44531B1Energia convencionalResidencialResidencialNão se aplicaNão se aplicaNão se aplica</t>
  </si>
  <si>
    <t>44562B1Energia convencionalResidencialResidencialNão se aplicaNão se aplicaNão se aplica</t>
  </si>
  <si>
    <t>44593B1Energia convencionalResidencialResidencialNão se aplicaNão se aplicaNão se aplica</t>
  </si>
  <si>
    <t>44621B1Energia convencionalResidencialResidencialNão se aplicaNão se aplicaNão se aplica</t>
  </si>
  <si>
    <t>44652B1Energia convencionalResidencialResidencialNão se aplicaNão se aplicaNão se aplica</t>
  </si>
  <si>
    <t>44682B1Energia convencionalResidencialResidencialNão se aplicaNão se aplicaNão se aplica</t>
  </si>
  <si>
    <t>44713B1Energia convencionalResidencialResidencialNão se aplicaNão se aplicaNão se aplica</t>
  </si>
  <si>
    <t>44743B1Energia convencionalResidencialResidencialNão se aplicaNão se aplicaNão se aplica</t>
  </si>
  <si>
    <t>44774B1Energia convencionalResidencialResidencialNão se aplicaNão se aplicaNão se aplica</t>
  </si>
  <si>
    <t>44440B1Energia convencionalResidencialResidencial baixa renda – faixa 01Não se aplicaNão se aplicaNão se aplica</t>
  </si>
  <si>
    <t>44470B1Energia convencionalResidencialResidencial baixa renda – faixa 01Não se aplicaNão se aplicaNão se aplica</t>
  </si>
  <si>
    <t>44501B1Energia convencionalResidencialResidencial baixa renda – faixa 01Não se aplicaNão se aplicaNão se aplica</t>
  </si>
  <si>
    <t>44531B1Energia convencionalResidencialResidencial baixa renda – faixa 01Não se aplicaNão se aplicaNão se aplica</t>
  </si>
  <si>
    <t>44562B1Energia convencionalResidencialResidencial baixa renda – faixa 01Não se aplicaNão se aplicaNão se aplica</t>
  </si>
  <si>
    <t>44593B1Energia convencionalResidencialResidencial baixa renda – faixa 01Não se aplicaNão se aplicaNão se aplica</t>
  </si>
  <si>
    <t>44621B1Energia convencionalResidencialResidencial baixa renda – faixa 01Não se aplicaNão se aplicaNão se aplica</t>
  </si>
  <si>
    <t>44652B1Energia convencionalResidencialResidencial baixa renda – faixa 01Não se aplicaNão se aplicaNão se aplica</t>
  </si>
  <si>
    <t>44682B1Energia convencionalResidencialResidencial baixa renda – faixa 01Não se aplicaNão se aplicaNão se aplica</t>
  </si>
  <si>
    <t>44713B1Energia convencionalResidencialResidencial baixa renda – faixa 01Não se aplicaNão se aplicaNão se aplica</t>
  </si>
  <si>
    <t>44743B1Energia convencionalResidencialResidencial baixa renda – faixa 01Não se aplicaNão se aplicaNão se aplica</t>
  </si>
  <si>
    <t>44774B1Energia convencionalResidencialResidencial baixa renda – faixa 01Não se aplicaNão se aplicaNão se aplica</t>
  </si>
  <si>
    <t>44440B1Energia convencionalResidencialResidencial baixa renda – faixa 02Não se aplicaNão se aplicaNão se aplica</t>
  </si>
  <si>
    <t>44470B1Energia convencionalResidencialResidencial baixa renda – faixa 02Não se aplicaNão se aplicaNão se aplica</t>
  </si>
  <si>
    <t>44501B1Energia convencionalResidencialResidencial baixa renda – faixa 02Não se aplicaNão se aplicaNão se aplica</t>
  </si>
  <si>
    <t>44531B1Energia convencionalResidencialResidencial baixa renda – faixa 02Não se aplicaNão se aplicaNão se aplica</t>
  </si>
  <si>
    <t>44562B1Energia convencionalResidencialResidencial baixa renda – faixa 02Não se aplicaNão se aplicaNão se aplica</t>
  </si>
  <si>
    <t>44593B1Energia convencionalResidencialResidencial baixa renda – faixa 02Não se aplicaNão se aplicaNão se aplica</t>
  </si>
  <si>
    <t>44621B1Energia convencionalResidencialResidencial baixa renda – faixa 02Não se aplicaNão se aplicaNão se aplica</t>
  </si>
  <si>
    <t>44652B1Energia convencionalResidencialResidencial baixa renda – faixa 02Não se aplicaNão se aplicaNão se aplica</t>
  </si>
  <si>
    <t>44682B1Energia convencionalResidencialResidencial baixa renda – faixa 02Não se aplicaNão se aplicaNão se aplica</t>
  </si>
  <si>
    <t>44713B1Energia convencionalResidencialResidencial baixa renda – faixa 02Não se aplicaNão se aplicaNão se aplica</t>
  </si>
  <si>
    <t>44743B1Energia convencionalResidencialResidencial baixa renda – faixa 02Não se aplicaNão se aplicaNão se aplica</t>
  </si>
  <si>
    <t>44774B1Energia convencionalResidencialResidencial baixa renda – faixa 02Não se aplicaNão se aplicaNão se aplica</t>
  </si>
  <si>
    <t>44440B1Energia convencionalResidencialResidencial baixa renda – faixa 03Não se aplicaNão se aplicaNão se aplica</t>
  </si>
  <si>
    <t>44470B1Energia convencionalResidencialResidencial baixa renda – faixa 03Não se aplicaNão se aplicaNão se aplica</t>
  </si>
  <si>
    <t>44501B1Energia convencionalResidencialResidencial baixa renda – faixa 03Não se aplicaNão se aplicaNão se aplica</t>
  </si>
  <si>
    <t>44531B1Energia convencionalResidencialResidencial baixa renda – faixa 03Não se aplicaNão se aplicaNão se aplica</t>
  </si>
  <si>
    <t>44562B1Energia convencionalResidencialResidencial baixa renda – faixa 03Não se aplicaNão se aplicaNão se aplica</t>
  </si>
  <si>
    <t>44593B1Energia convencionalResidencialResidencial baixa renda – faixa 03Não se aplicaNão se aplicaNão se aplica</t>
  </si>
  <si>
    <t>44621B1Energia convencionalResidencialResidencial baixa renda – faixa 03Não se aplicaNão se aplicaNão se aplica</t>
  </si>
  <si>
    <t>44652B1Energia convencionalResidencialResidencial baixa renda – faixa 03Não se aplicaNão se aplicaNão se aplica</t>
  </si>
  <si>
    <t>44682B1Energia convencionalResidencialResidencial baixa renda – faixa 03Não se aplicaNão se aplicaNão se aplica</t>
  </si>
  <si>
    <t>44713B1Energia convencionalResidencialResidencial baixa renda – faixa 03Não se aplicaNão se aplicaNão se aplica</t>
  </si>
  <si>
    <t>44743B1Energia convencionalResidencialResidencial baixa renda – faixa 03Não se aplicaNão se aplicaNão se aplica</t>
  </si>
  <si>
    <t>44774B1Energia convencionalResidencialResidencial baixa renda – faixa 03Não se aplicaNão se aplicaNão se aplica</t>
  </si>
  <si>
    <t>44440B1Energia convencionalResidencialResidencial baixa renda – faixa 04Não se aplicaNão se aplicaNão se aplica</t>
  </si>
  <si>
    <t>44531B1Energia convencionalResidencialResidencial baixa renda – faixa 04Não se aplicaNão se aplicaNão se aplica</t>
  </si>
  <si>
    <t>44562B1Energia convencionalResidencialResidencial baixa renda – faixa 04Não se aplicaNão se aplicaNão se aplica</t>
  </si>
  <si>
    <t>44593B1Energia convencionalResidencialResidencial baixa renda – faixa 04Não se aplicaNão se aplicaNão se aplica</t>
  </si>
  <si>
    <t>44621B1Energia convencionalResidencialResidencial baixa renda – faixa 04Não se aplicaNão se aplicaNão se aplica</t>
  </si>
  <si>
    <t>44652B1Energia convencionalResidencialResidencial baixa renda – faixa 04Não se aplicaNão se aplicaNão se aplica</t>
  </si>
  <si>
    <t>44682B1Energia convencionalResidencialResidencial baixa renda – faixa 04Não se aplicaNão se aplicaNão se aplica</t>
  </si>
  <si>
    <t>44713B1Energia convencionalResidencialResidencial baixa renda – faixa 04Não se aplicaNão se aplicaNão se aplica</t>
  </si>
  <si>
    <t>44743B1Energia convencionalResidencialResidencial baixa renda – faixa 04Não se aplicaNão se aplicaNão se aplica</t>
  </si>
  <si>
    <t>44774B1Energia convencionalResidencialResidencial baixa renda – faixa 04Não se aplicaNão se aplicaNão se aplica</t>
  </si>
  <si>
    <t>44440B2Energia convencionalRuralNão se aplicaNão se aplicaNão se aplicaNão se aplica</t>
  </si>
  <si>
    <t>44470B2Energia convencionalRuralNão se aplicaNão se aplicaNão se aplicaNão se aplica</t>
  </si>
  <si>
    <t>44501B2Energia convencionalRuralNão se aplicaNão se aplicaNão se aplicaNão se aplica</t>
  </si>
  <si>
    <t>44531B2Energia convencionalRuralNão se aplicaNão se aplicaNão se aplicaNão se aplica</t>
  </si>
  <si>
    <t>44562B2Energia convencionalRuralNão se aplicaNão se aplicaNão se aplicaNão se aplica</t>
  </si>
  <si>
    <t>44593B2Energia convencionalRuralNão se aplicaNão se aplicaNão se aplicaNão se aplica</t>
  </si>
  <si>
    <t>44621B2Energia convencionalRuralNão se aplicaNão se aplicaNão se aplicaNão se aplica</t>
  </si>
  <si>
    <t>44652B2Energia convencionalRuralNão se aplicaNão se aplicaNão se aplicaNão se aplica</t>
  </si>
  <si>
    <t>44682B2Energia convencionalRuralNão se aplicaNão se aplicaNão se aplicaNão se aplica</t>
  </si>
  <si>
    <t>44713B2Energia convencionalRuralNão se aplicaNão se aplicaNão se aplicaNão se aplica</t>
  </si>
  <si>
    <t>44743B2Energia convencionalRuralNão se aplicaNão se aplicaNão se aplicaNão se aplica</t>
  </si>
  <si>
    <t>44774B2Energia convencionalRuralNão se aplicaNão se aplicaNão se aplicaNão se aplica</t>
  </si>
  <si>
    <t>44440B3Energia convencionalNão se aplicaNão se aplicaNão se aplicaNão se aplicaNão se aplica</t>
  </si>
  <si>
    <t>44470B3Energia convencionalNão se aplicaNão se aplicaNão se aplicaNão se aplicaNão se aplica</t>
  </si>
  <si>
    <t>44501B3Energia convencionalNão se aplicaNão se aplicaNão se aplicaNão se aplicaNão se aplica</t>
  </si>
  <si>
    <t>44531B3Energia convencionalNão se aplicaNão se aplicaNão se aplicaNão se aplicaNão se aplica</t>
  </si>
  <si>
    <t>44562B3Energia convencionalNão se aplicaNão se aplicaNão se aplicaNão se aplicaNão se aplica</t>
  </si>
  <si>
    <t>44593B3Energia convencionalNão se aplicaNão se aplicaNão se aplicaNão se aplicaNão se aplica</t>
  </si>
  <si>
    <t>44621B3Energia convencionalNão se aplicaNão se aplicaNão se aplicaNão se aplicaNão se aplica</t>
  </si>
  <si>
    <t>44652B3Energia convencionalNão se aplicaNão se aplicaNão se aplicaNão se aplicaNão se aplica</t>
  </si>
  <si>
    <t>44682B3Energia convencionalNão se aplicaNão se aplicaNão se aplicaNão se aplicaNão se aplica</t>
  </si>
  <si>
    <t>44713B3Energia convencionalNão se aplicaNão se aplicaNão se aplicaNão se aplicaNão se aplica</t>
  </si>
  <si>
    <t>44743B3Energia convencionalNão se aplicaNão se aplicaNão se aplicaNão se aplicaNão se aplica</t>
  </si>
  <si>
    <t>44774B3Energia convencionalNão se aplicaNão se aplicaNão se aplicaNão se aplicaNão se aplica</t>
  </si>
  <si>
    <t>44440B4Energia convencionalIluminação públicaIluminação pública – B4aNão se aplicaNão se aplicaNão se aplica</t>
  </si>
  <si>
    <t>44470B4Energia convencionalIluminação públicaIluminação pública – B4aNão se aplicaNão se aplicaNão se aplica</t>
  </si>
  <si>
    <t>44501B4Energia convencionalIluminação públicaIluminação pública – B4aNão se aplicaNão se aplicaNão se aplica</t>
  </si>
  <si>
    <t>44531B4Energia convencionalIluminação públicaIluminação pública – B4aNão se aplicaNão se aplicaNão se aplica</t>
  </si>
  <si>
    <t>44562B4Energia convencionalIluminação públicaIluminação pública – B4aNão se aplicaNão se aplicaNão se aplica</t>
  </si>
  <si>
    <t>44593B4Energia convencionalIluminação públicaIluminação pública – B4aNão se aplicaNão se aplicaNão se aplica</t>
  </si>
  <si>
    <t>44621B4Energia convencionalIluminação públicaIluminação pública – B4aNão se aplicaNão se aplicaNão se aplica</t>
  </si>
  <si>
    <t>44652B4Energia convencionalIluminação públicaIluminação pública – B4aNão se aplicaNão se aplicaNão se aplica</t>
  </si>
  <si>
    <t>44682B4Energia convencionalIluminação públicaIluminação pública – B4aNão se aplicaNão se aplicaNão se aplica</t>
  </si>
  <si>
    <t>44713B4Energia convencionalIluminação públicaIluminação pública – B4aNão se aplicaNão se aplicaNão se aplica</t>
  </si>
  <si>
    <t>44743B4Energia convencionalIluminação públicaIluminação pública – B4aNão se aplicaNão se aplicaNão se aplica</t>
  </si>
  <si>
    <t>44774B4Energia convencionalIluminação públicaIluminação pública – B4aNão se aplicaNão se aplicaNão se aplica</t>
  </si>
  <si>
    <t>RECEITA VERIFICADA</t>
  </si>
  <si>
    <t>TUSD</t>
  </si>
  <si>
    <t>ENCARGO</t>
  </si>
  <si>
    <t>TFSEE</t>
  </si>
  <si>
    <t>P&amp;D</t>
  </si>
  <si>
    <t>ONS</t>
  </si>
  <si>
    <t>CCC</t>
  </si>
  <si>
    <t>CDE</t>
  </si>
  <si>
    <t>PROINFA</t>
  </si>
  <si>
    <t>LIMINAR 1</t>
  </si>
  <si>
    <t>SUBTOTAL</t>
  </si>
  <si>
    <t>FIO A</t>
  </si>
  <si>
    <t>TUSD RB</t>
  </si>
  <si>
    <t>TUSD FR</t>
  </si>
  <si>
    <t>CONEXAO T</t>
  </si>
  <si>
    <t>CONEXAO D</t>
  </si>
  <si>
    <t>CUSD</t>
  </si>
  <si>
    <t>TUSDG-T</t>
  </si>
  <si>
    <t>TUSDG-ONS</t>
  </si>
  <si>
    <t>FIO B</t>
  </si>
  <si>
    <t>DISTRIBUICAO</t>
  </si>
  <si>
    <t>Nao se aplica</t>
  </si>
  <si>
    <t>SUBSIDIO</t>
  </si>
  <si>
    <t>OUTROS</t>
  </si>
  <si>
    <t>PERDAS</t>
  </si>
  <si>
    <t>PERDAS TECNICAS</t>
  </si>
  <si>
    <t>PERDAS RB/ PERDAS D</t>
  </si>
  <si>
    <t>PERDAS NAO TECNICAS</t>
  </si>
  <si>
    <t>RI</t>
  </si>
  <si>
    <t>TE</t>
  </si>
  <si>
    <t>ESS/ERR</t>
  </si>
  <si>
    <t>CFURH</t>
  </si>
  <si>
    <t>CDE ELET</t>
  </si>
  <si>
    <t>ENERGIA</t>
  </si>
  <si>
    <t>ENERGIA REVENDA</t>
  </si>
  <si>
    <t>ITAIPU</t>
  </si>
  <si>
    <t>TUST ITAIPU</t>
  </si>
  <si>
    <t>TUST CI</t>
  </si>
  <si>
    <t>PERDAS RB/C</t>
  </si>
  <si>
    <t>TOTAL</t>
  </si>
  <si>
    <t>TIPO TARIFA</t>
  </si>
  <si>
    <t>GRUPO DE CUSTO</t>
  </si>
  <si>
    <t>CUSTO</t>
  </si>
  <si>
    <t>BASE ECONÔMICA</t>
  </si>
  <si>
    <t>BASE FINANCEIRA</t>
  </si>
  <si>
    <t>CVA</t>
  </si>
  <si>
    <t>Parâmetros de cálculo</t>
  </si>
  <si>
    <t>IRP ECONÔMICO (%)</t>
  </si>
  <si>
    <t>IRP FINANCEIRO (%)</t>
  </si>
  <si>
    <t>IGP-M (%)</t>
  </si>
  <si>
    <t>ALÍQUOTA P&amp;D (%)</t>
  </si>
  <si>
    <t>PROJEÇÃO MERC. (%)</t>
  </si>
  <si>
    <t>Perdas TOTAIS (MWh)</t>
  </si>
  <si>
    <t>Perdas Técnicas (MWh)</t>
  </si>
  <si>
    <t>Perdas Não Técnicas (MWh)</t>
  </si>
  <si>
    <t>Perdas na RB (sobre perdas na D) (MWh)</t>
  </si>
  <si>
    <t>Perdas na RB (sobre mercado cativo) (MWh)</t>
  </si>
  <si>
    <t>ENERGIA REQUERIDA (MWh)</t>
  </si>
  <si>
    <t>PROINFA (MWh)</t>
  </si>
  <si>
    <t>MIX COMPRA (R$/MWh)</t>
  </si>
  <si>
    <t>ENERGIA ECON. (R$)</t>
  </si>
  <si>
    <t>ENERGIA FIN. (R$)</t>
  </si>
  <si>
    <t>ENERGIA CVA (R$)</t>
  </si>
  <si>
    <t>RB FIN. (R$)</t>
  </si>
  <si>
    <t>RB CVA (R$)</t>
  </si>
  <si>
    <t>P&amp;D FIN. (R$)</t>
  </si>
  <si>
    <t>P&amp;D CVA (R$)</t>
  </si>
  <si>
    <t>VERSÃO</t>
  </si>
  <si>
    <t>Constante FAIXA 1 BR</t>
  </si>
  <si>
    <t>Constante FAIXA 2 BR</t>
  </si>
  <si>
    <t>Constante FAIXA 3 BR</t>
  </si>
  <si>
    <t>Constante FAIXA 4 BR</t>
  </si>
  <si>
    <t>Constante B2 Rural</t>
  </si>
  <si>
    <t>Constante B2 Cooperativas</t>
  </si>
  <si>
    <t>Constante B2 SPI</t>
  </si>
  <si>
    <t>Constante B3</t>
  </si>
  <si>
    <t>Constante B4a</t>
  </si>
  <si>
    <t>Constante B4b</t>
  </si>
  <si>
    <t>Constante PUB. FAIXA 1 BR</t>
  </si>
  <si>
    <t>Constante PUB. FAIXA 2 BR</t>
  </si>
  <si>
    <t>Constante PUB. FAIXA 3 BR</t>
  </si>
  <si>
    <t>Constante PUB. FAIXA 4 BR</t>
  </si>
  <si>
    <t>Constante PUB. B2 Rural</t>
  </si>
  <si>
    <t>Constante PUB. B2 Cooperativas</t>
  </si>
  <si>
    <t>Constante PUB. B2 SPI</t>
  </si>
  <si>
    <t>Conexão CONS. A1</t>
  </si>
  <si>
    <t>CDE ENERGIA ACR</t>
  </si>
  <si>
    <t>CDE Covid TUSD</t>
  </si>
  <si>
    <t>P&amp;D ECON. (R$)</t>
  </si>
  <si>
    <t>CUSTOS</t>
  </si>
  <si>
    <t>CDE Covid TE</t>
  </si>
  <si>
    <t>ABA Merc. Rec. TUSD (kW)</t>
  </si>
  <si>
    <t>ABA Merc. Rec. TUSD (MWh)</t>
  </si>
  <si>
    <t>ABA Merc. Rec. TE (MWh)</t>
  </si>
  <si>
    <t>ABA Merc. TUSD TUSD (kW)</t>
  </si>
  <si>
    <t>ABA Merc. TUSD TUSD (MWh)</t>
  </si>
  <si>
    <t>ABA Merc. TE TE (MWh)</t>
  </si>
  <si>
    <t>TESTE TUSD (kW)</t>
  </si>
  <si>
    <t>TESTE TUSD (MWh)</t>
  </si>
  <si>
    <t>TESTE TE (MWh)</t>
  </si>
  <si>
    <t>Resolução</t>
  </si>
  <si>
    <t>RESOLUÇÃO HOMOLOGATÓRIA Nº 2.942, DE 28 DE SETEMBRO DE 2021</t>
  </si>
  <si>
    <t>MERC.</t>
  </si>
  <si>
    <t>TR TUSD</t>
  </si>
  <si>
    <t>VAR AUX</t>
  </si>
  <si>
    <t>CUSTO REC. CAR.</t>
  </si>
  <si>
    <t>CUSTO REC. GER.</t>
  </si>
  <si>
    <t>CUSTO REC. DEM.</t>
  </si>
  <si>
    <t>CON. D/T</t>
  </si>
  <si>
    <t>COEF. AJ. BE</t>
  </si>
  <si>
    <t>TUSD BE</t>
  </si>
  <si>
    <t>CUSTO TEÓRICO</t>
  </si>
  <si>
    <t>COEF. AJ. BF</t>
  </si>
  <si>
    <t>(SUB)GRUPO</t>
  </si>
  <si>
    <t>TUSD (R$)</t>
  </si>
  <si>
    <t>TUSD (MWh)</t>
  </si>
  <si>
    <t>PNT (R$/MWh)</t>
  </si>
  <si>
    <t>VAR. AX01</t>
  </si>
  <si>
    <t>VAR. AX02</t>
  </si>
  <si>
    <t>TUSD BF</t>
  </si>
  <si>
    <t>COEF. AJ. CVA</t>
  </si>
  <si>
    <t>AUX. SUBS.</t>
  </si>
  <si>
    <t>TUSD CVA</t>
  </si>
  <si>
    <t>TR TE</t>
  </si>
  <si>
    <t>BASE TEÓRICA</t>
  </si>
  <si>
    <t>TE SUP.</t>
  </si>
  <si>
    <t>COEF. AJ. BE CDE S/ ACR</t>
  </si>
  <si>
    <t>COEF. AJ. BE CDE SÓ ACR</t>
  </si>
  <si>
    <t>TE BE</t>
  </si>
  <si>
    <t>TE BF</t>
  </si>
  <si>
    <t>TE CVA</t>
  </si>
  <si>
    <t>TOTAL ABAS</t>
  </si>
  <si>
    <t>AVALIAÇÃO</t>
  </si>
  <si>
    <t>Coeficientes de transição</t>
  </si>
  <si>
    <t>A2</t>
  </si>
  <si>
    <t>A3</t>
  </si>
  <si>
    <t>A3a</t>
  </si>
  <si>
    <t>AS</t>
  </si>
  <si>
    <t>Carga</t>
  </si>
  <si>
    <t>Ajustado para o passo 4 da transição. Não altere.</t>
  </si>
  <si>
    <t>TipoTarifa</t>
  </si>
  <si>
    <t>UP</t>
  </si>
  <si>
    <t>US</t>
  </si>
  <si>
    <t>UT</t>
  </si>
  <si>
    <t>AnoRef</t>
  </si>
  <si>
    <t>Evento</t>
  </si>
  <si>
    <t>Potência</t>
  </si>
  <si>
    <t>Ativa</t>
  </si>
  <si>
    <t>Intermediário</t>
  </si>
  <si>
    <t>Energia</t>
  </si>
  <si>
    <t>CÓD.</t>
  </si>
  <si>
    <t>TUSD (R$/kW)</t>
  </si>
  <si>
    <t>TUSD (R$/MWh)</t>
  </si>
  <si>
    <t>TE (R$/MWh)</t>
  </si>
  <si>
    <t>TUSD (R$/kW) NOVA</t>
  </si>
  <si>
    <t>TUSD (R$/MWh) NOVA</t>
  </si>
  <si>
    <t>TE (R$/MWh) NOVA</t>
  </si>
  <si>
    <t>Empresa</t>
  </si>
  <si>
    <t>Ramo</t>
  </si>
  <si>
    <t>Tipo</t>
  </si>
  <si>
    <t>Unidade</t>
  </si>
  <si>
    <t>Percentual Desconto</t>
  </si>
  <si>
    <t>modalidade</t>
  </si>
  <si>
    <t>subgrupo</t>
  </si>
  <si>
    <t>classe</t>
  </si>
  <si>
    <t>subclasse</t>
  </si>
  <si>
    <t>detalhe</t>
  </si>
  <si>
    <t>Passo atual</t>
  </si>
  <si>
    <t>desconto 0 - 8</t>
  </si>
  <si>
    <t>Planilha Custo</t>
  </si>
  <si>
    <t>Planilha CUSTO</t>
  </si>
  <si>
    <t xml:space="preserve">Branca </t>
  </si>
  <si>
    <t xml:space="preserve">Convencional </t>
  </si>
  <si>
    <t>RA0 ou RV - TUSD (kW)</t>
  </si>
  <si>
    <t>RA0 ou RV - TUSD (MWh)</t>
  </si>
  <si>
    <t>RA0 ou RV - TE (MWh)</t>
  </si>
  <si>
    <t>RA1 ou RRD - TUSD (kW)</t>
  </si>
  <si>
    <t>RA1 ou RRD - TUSD (MWh)</t>
  </si>
  <si>
    <t>RA1 ou RRD - TE (MWh)</t>
  </si>
  <si>
    <t>RA0 ou RV - TUSD</t>
  </si>
  <si>
    <t>RA1 ou RRD - TUSD</t>
  </si>
  <si>
    <t>VARIAÇÃO</t>
  </si>
  <si>
    <t>RA0 ou RV - TE</t>
  </si>
  <si>
    <t>RA1 ou RRD - TE</t>
  </si>
  <si>
    <t>RA0 ou RV</t>
  </si>
  <si>
    <t>RA1 ou RRD</t>
  </si>
  <si>
    <t>A</t>
  </si>
  <si>
    <t>A+B</t>
  </si>
  <si>
    <t>Rótulos de Linha</t>
  </si>
  <si>
    <t>Soma de RA0 ou RV - TUSD (kW)</t>
  </si>
  <si>
    <t>Soma de RA1 ou RRD - TUSD (kW)</t>
  </si>
  <si>
    <t>Soma de RA0 ou RV - TUSD (MWh)</t>
  </si>
  <si>
    <t>Soma de RA1 ou RRD - TUSD (MWh)</t>
  </si>
  <si>
    <t>Soma de RA0 ou RV - TE (MWh)</t>
  </si>
  <si>
    <t>Soma de RA1 ou RRD - TE (MWh)</t>
  </si>
  <si>
    <t>Soma de Variação TUSD</t>
  </si>
  <si>
    <t>Soma de Variação TE</t>
  </si>
  <si>
    <t>Soma de Variação</t>
  </si>
  <si>
    <t>SUBSIDIO kW - TV</t>
  </si>
  <si>
    <t>SUBSIDIO MWh - TV</t>
  </si>
  <si>
    <t>SUBSIDIO kW - TN</t>
  </si>
  <si>
    <t>SUBSIDIO MWh - TN</t>
  </si>
  <si>
    <t>TIPO</t>
  </si>
  <si>
    <t>SUBSIDIO BAIXA RENDA</t>
  </si>
  <si>
    <t>SUBSIDIO RURAL</t>
  </si>
  <si>
    <t>SUBSIDIO IRRIGANTE/AQUICULTOR</t>
  </si>
  <si>
    <t>SUBSIDIO ÁGUA, ESGOTO E SANEAMENTO</t>
  </si>
  <si>
    <t>R$ (TV)</t>
  </si>
  <si>
    <t>R$ (TN)</t>
  </si>
  <si>
    <t>SUBSIDIO CARGA FONTE INCENTIVADA</t>
  </si>
  <si>
    <t>SUBSIDIO GERAÇÃO FONTE INCENTIVADA</t>
  </si>
  <si>
    <t>SUBSIDIO DISTRIBUIÇÃO</t>
  </si>
  <si>
    <t>AJUSTE ABRACE</t>
  </si>
  <si>
    <t>(vazio)</t>
  </si>
  <si>
    <t>Soma de SUBSIDIO kW - TV</t>
  </si>
  <si>
    <t>Soma de SUBSIDIO MWh - TV</t>
  </si>
  <si>
    <t>Soma de SUBSIDIO kW - TN</t>
  </si>
  <si>
    <t>Soma de SUBSIDIO MWh - TN</t>
  </si>
  <si>
    <t>Soma de TOTAL TV</t>
  </si>
  <si>
    <t>Soma de TOTAL TN</t>
  </si>
  <si>
    <t>Azul1Serviço públicoÁgua, esgoto e saneamentoPlanilha CUSTOA4</t>
  </si>
  <si>
    <t>2021</t>
  </si>
  <si>
    <t>Verde1Serviço públicoÁgua, esgoto e saneamentoPlanilha CUSTOA4</t>
  </si>
  <si>
    <t>Convencional 1Serviço públicoÁgua, esgoto e saneamentoPlanilha CUSTOA4</t>
  </si>
  <si>
    <t>Convencional1Serviço públicoÁgua, esgoto e saneamentoPlanilha CUSTOB3</t>
  </si>
  <si>
    <t>Branca1Serviço públicoÁgua, esgoto e saneamentoPlanilha CUSTOB3</t>
  </si>
  <si>
    <t>Convencional1RuralCooperativa de eletrificação ruralPlanilha CUSTOB2</t>
  </si>
  <si>
    <t>Branca 1RuralCooperativa de eletrificação ruralPlanilha CUSTOB2</t>
  </si>
  <si>
    <t>Azul1RuralNão se aplicaPlanilha CustoA4</t>
  </si>
  <si>
    <t>Verde1RuralNão se aplicaPlanilha CustoA4</t>
  </si>
  <si>
    <t>Convencional1RuralNão se aplicaPlanilha CustoA4</t>
  </si>
  <si>
    <t>Convencional1RuralNão se aplicaRuralB2</t>
  </si>
  <si>
    <t>Branca1RuralNão se aplicaRuralB2</t>
  </si>
  <si>
    <t>Convencional1RuralServiço público de irrigação ruralPlanilha CUSTOB2</t>
  </si>
  <si>
    <t>Branca 1RuralServiço público de irrigação ruralPlanilha CUSTOB2</t>
  </si>
  <si>
    <t>Chave</t>
  </si>
  <si>
    <t>Cod</t>
  </si>
  <si>
    <t>idagente</t>
  </si>
  <si>
    <t>IdUC</t>
  </si>
  <si>
    <t>SubClasse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</si>
  <si>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</si>
  <si>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</si>
  <si>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</si>
  <si>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</si>
  <si>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</si>
  <si>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</si>
  <si>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</si>
  <si>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</si>
  <si>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</si>
  <si>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Passo_Atual</t>
  </si>
  <si>
    <t>TUSD kW R$</t>
  </si>
  <si>
    <t>TUSD MW R$</t>
  </si>
  <si>
    <t>TE MWh R$</t>
  </si>
  <si>
    <t>SUB TUSD kW R$</t>
  </si>
  <si>
    <t>SUB TUSD MW R$</t>
  </si>
  <si>
    <t>SUB TE MWh R$</t>
  </si>
  <si>
    <t>TABELA CONSISTÊNCIA</t>
  </si>
  <si>
    <t>A1</t>
  </si>
  <si>
    <t>TUSD kW COMP. PR. R$</t>
  </si>
  <si>
    <t>TUSD MWh COMP. PR. R$</t>
  </si>
  <si>
    <t>TE MWh COMP. PR. R$</t>
  </si>
  <si>
    <t>TUSD kW SUB. PR. R$</t>
  </si>
  <si>
    <t>TUSD MWh SUB. PR. R$</t>
  </si>
  <si>
    <t>TE MWh SUB. PR. R$</t>
  </si>
  <si>
    <t>TUSD kW EFT. PR. R$</t>
  </si>
  <si>
    <t>TUSD MWh EFT. PR. R$</t>
  </si>
  <si>
    <t>TE MWh EFT. PR. R$</t>
  </si>
  <si>
    <t>TUSD kW EFT. VR. R$</t>
  </si>
  <si>
    <t>TUSD MWh EFT. VR. R$</t>
  </si>
  <si>
    <t>TE MWh EFT. VR. R$</t>
  </si>
  <si>
    <t>TUSD kW SUB. VR. R$</t>
  </si>
  <si>
    <t>TUSD+TE MWh SUB. VR. R$</t>
  </si>
  <si>
    <t>EFT. TUSD kW</t>
  </si>
  <si>
    <t>EFT. TUSD MWh</t>
  </si>
  <si>
    <t>EFT. TE MWh</t>
  </si>
  <si>
    <t>SUB. TUSD kW</t>
  </si>
  <si>
    <t>SUB. TUSD+TE MWh</t>
  </si>
  <si>
    <t>PLANILHA</t>
  </si>
  <si>
    <t>ERRO DETECTADO</t>
  </si>
  <si>
    <t>TABELA 1 - TARIFAS DE APLICAÇÃO E BASE ECONÔMICA PARA O GRUPO A</t>
  </si>
  <si>
    <t>ACESSANTE</t>
  </si>
  <si>
    <t>TARIFAS DE APLICAÇÃO</t>
  </si>
  <si>
    <t>R$/kW</t>
  </si>
  <si>
    <t>R$/MWh</t>
  </si>
  <si>
    <t>P</t>
  </si>
  <si>
    <t>FP</t>
  </si>
  <si>
    <t>Azul APE</t>
  </si>
  <si>
    <t>NA</t>
  </si>
  <si>
    <t>Verde APE</t>
  </si>
  <si>
    <t>TABELA 2 - TARIFAS DE APLICAÇÃO E BASE ECONÔMICA PARA O GRUPO B</t>
  </si>
  <si>
    <t>BRANCA</t>
  </si>
  <si>
    <t>RESIDENCIAL</t>
  </si>
  <si>
    <t>INT</t>
  </si>
  <si>
    <t>PRÉ-PAGAMENTO</t>
  </si>
  <si>
    <t>BAIXA RENDA</t>
  </si>
  <si>
    <t>CONVENCIONAL</t>
  </si>
  <si>
    <t>RURAL</t>
  </si>
  <si>
    <t>NÃO SE APLICA</t>
  </si>
  <si>
    <t>COOPERATIVA DE ELETRIFICAÇÃO RURAL</t>
  </si>
  <si>
    <t>SERVIÇO PÚBLICO DE IRRIGAÇÃO RURAL</t>
  </si>
  <si>
    <t>ILUMINAÇÃO PÚBLICA</t>
  </si>
  <si>
    <t>ILUMINAÇÃO PÚBLICA – B4A</t>
  </si>
  <si>
    <t>ILUMINAÇÃO PÚBLICA – B4B</t>
  </si>
  <si>
    <t>GERAÇÃO</t>
  </si>
  <si>
    <t>TUSD BASE FINANCEIRA NOVA</t>
  </si>
  <si>
    <t>TUSD BASE FINANCEIRA VIGENTE</t>
  </si>
  <si>
    <t>A4Azul</t>
  </si>
  <si>
    <t>A4AzulNão se aplica</t>
  </si>
  <si>
    <t>A4AzulNão se aplicaNão se aplica</t>
  </si>
  <si>
    <t>A4AzulNão se aplicaNão se aplicaNão se aplica</t>
  </si>
  <si>
    <t>A4AzulNão se aplicaNão se aplicaNão se aplicaNão se aplica</t>
  </si>
  <si>
    <t>A4AzulNão se aplicaNão se aplicaNão se aplicaNão se aplicaDP</t>
  </si>
  <si>
    <t>A4AzulNão se aplicaNão se aplicaNão se aplicaNão se aplicaDFP</t>
  </si>
  <si>
    <t>A4AzulNão se aplicaNão se aplicaNão se aplicaNão se aplicaE</t>
  </si>
  <si>
    <t>A4AzulNão se aplicaNão se aplicaAPE</t>
  </si>
  <si>
    <t>A4AzulNão se aplicaNão se aplicaAPENão se aplica</t>
  </si>
  <si>
    <t>A4AzulNão se aplicaNão se aplicaAPENão se aplicaE</t>
  </si>
  <si>
    <t>A4Geração</t>
  </si>
  <si>
    <t>A4GeraçãoNão se aplica</t>
  </si>
  <si>
    <t>A4GeraçãoNão se aplicaNão se aplica</t>
  </si>
  <si>
    <t>A4GeraçãoNão se aplicaNão se aplicaNão se aplica</t>
  </si>
  <si>
    <t>A4GeraçãoNão se aplicaNão se aplicaNão se aplicaNão se aplica</t>
  </si>
  <si>
    <t>A4GeraçãoNão se aplicaNão se aplicaNão se aplicaNão se aplicaD</t>
  </si>
  <si>
    <t>A4Verde</t>
  </si>
  <si>
    <t>A4VerdeNão se aplica</t>
  </si>
  <si>
    <t>A4VerdeNão se aplicaNão se aplica</t>
  </si>
  <si>
    <t>A4VerdeNão se aplicaNão se aplicaNão se aplica</t>
  </si>
  <si>
    <t>A4VerdeNão se aplicaNão se aplicaNão se aplicaNão se aplica</t>
  </si>
  <si>
    <t>A4VerdeNão se aplicaNão se aplicaNão se aplicaNão se aplicaD</t>
  </si>
  <si>
    <t>A4VerdeNão se aplicaNão se aplicaNão se aplicaNão se aplicaEP</t>
  </si>
  <si>
    <t>A4VerdeNão se aplicaNão se aplicaNão se aplicaNão se aplicaEFP</t>
  </si>
  <si>
    <t>A4VerdeNão se aplicaNão se aplicaAPE</t>
  </si>
  <si>
    <t>A4VerdeNão se aplicaNão se aplicaAPENão se aplica</t>
  </si>
  <si>
    <t>A4VerdeNão se aplicaNão se aplicaAPENão se aplicaEP</t>
  </si>
  <si>
    <t>A4VerdeNão se aplicaNão se aplicaAPENão se aplicaEFP</t>
  </si>
  <si>
    <t>BGeração</t>
  </si>
  <si>
    <t>BGeraçãoNão se aplica</t>
  </si>
  <si>
    <t>BGeraçãoNão se aplicaNão se aplica</t>
  </si>
  <si>
    <t>BGeraçãoNão se aplicaNão se aplicaTIPO 01</t>
  </si>
  <si>
    <t>BGeraçãoNão se aplicaNão se aplicaTIPO 01Não se aplica</t>
  </si>
  <si>
    <t>BGeraçãoNão se aplicaNão se aplicaTIPO 01Não se aplicaD</t>
  </si>
  <si>
    <t>BGeraçãoNão se aplicaNão se aplicaTIPO 02</t>
  </si>
  <si>
    <t>BGeraçãoNão se aplicaNão se aplicaTIPO 02Não se aplica</t>
  </si>
  <si>
    <t>BGeraçãoNão se aplicaNão se aplicaTIPO 02Não se aplicaD</t>
  </si>
  <si>
    <t>B1Branca</t>
  </si>
  <si>
    <t>B1BrancaResidencial</t>
  </si>
  <si>
    <t>B1BrancaResidencialResidencial</t>
  </si>
  <si>
    <t>B1BrancaResidencialResidencialNão se aplica</t>
  </si>
  <si>
    <t>B1BrancaResidencialResidencialNão se aplicaNão se aplica</t>
  </si>
  <si>
    <t>B1BrancaResidencialResidencialNão se aplicaNão se aplicaEP</t>
  </si>
  <si>
    <t>B1BrancaResidencialResidencialNão se aplicaNão se aplicaEINT</t>
  </si>
  <si>
    <t>B1BrancaResidencialResidencialNão se aplicaNão se aplicaEFP</t>
  </si>
  <si>
    <t>B1Convencional</t>
  </si>
  <si>
    <t>B1ConvencionalResidencial</t>
  </si>
  <si>
    <t>B1ConvencionalResidencialResidencial</t>
  </si>
  <si>
    <t>B1ConvencionalResidencialResidencialNão se aplica</t>
  </si>
  <si>
    <t>B1ConvencionalResidencialResidencialNão se aplicaNão se aplica</t>
  </si>
  <si>
    <t>B1ConvencionalResidencialResidencialNão se aplicaNão se aplicaE</t>
  </si>
  <si>
    <t>B1ConvencionalResidencialResidencial baixa renda – faixa 01</t>
  </si>
  <si>
    <t>B1ConvencionalResidencialResidencial baixa renda – faixa 01Não se aplica</t>
  </si>
  <si>
    <t>B1ConvencionalResidencialResidencial baixa renda – faixa 01Não se aplicaNão se aplica</t>
  </si>
  <si>
    <t>B1ConvencionalResidencialResidencial baixa renda – faixa 01Não se aplicaNão se aplicaE</t>
  </si>
  <si>
    <t>B1ConvencionalResidencialResidencial baixa renda – faixa 02</t>
  </si>
  <si>
    <t>B1ConvencionalResidencialResidencial baixa renda – faixa 02Não se aplica</t>
  </si>
  <si>
    <t>B1ConvencionalResidencialResidencial baixa renda – faixa 02Não se aplicaNão se aplica</t>
  </si>
  <si>
    <t>B1ConvencionalResidencialResidencial baixa renda – faixa 02Não se aplicaNão se aplicaE</t>
  </si>
  <si>
    <t>B1ConvencionalResidencialResidencial baixa renda – faixa 03</t>
  </si>
  <si>
    <t>B1ConvencionalResidencialResidencial baixa renda – faixa 03Não se aplica</t>
  </si>
  <si>
    <t>B1ConvencionalResidencialResidencial baixa renda – faixa 03Não se aplicaNão se aplica</t>
  </si>
  <si>
    <t>B1ConvencionalResidencialResidencial baixa renda – faixa 03Não se aplicaNão se aplicaE</t>
  </si>
  <si>
    <t>B1ConvencionalResidencialResidencial baixa renda – faixa 04</t>
  </si>
  <si>
    <t>B1ConvencionalResidencialResidencial baixa renda – faixa 04Não se aplica</t>
  </si>
  <si>
    <t>B1ConvencionalResidencialResidencial baixa renda – faixa 04Não se aplicaNão se aplica</t>
  </si>
  <si>
    <t>B1ConvencionalResidencialResidencial baixa renda – faixa 04Não se aplicaNão se aplicaE</t>
  </si>
  <si>
    <t>B1Convencional pré-pagamento</t>
  </si>
  <si>
    <t>B1Convencional pré-pagamentoResidencial</t>
  </si>
  <si>
    <t>B1Convencional pré-pagamentoResidencialResidencial</t>
  </si>
  <si>
    <t>B1Convencional pré-pagamentoResidencialResidencialNão se aplica</t>
  </si>
  <si>
    <t>B1Convencional pré-pagamentoResidencialResidencialNão se aplicaNão se aplica</t>
  </si>
  <si>
    <t>B1Convencional pré-pagamentoResidencialResidencialNão se aplicaNão se aplicaE</t>
  </si>
  <si>
    <t>B1Convencional pré-pagamentoResidencialResidencial baixa renda – faixa 01</t>
  </si>
  <si>
    <t>B1Convencional pré-pagamentoResidencialResidencial baixa renda – faixa 01Não se aplica</t>
  </si>
  <si>
    <t>B1Convencional pré-pagamentoResidencialResidencial baixa renda – faixa 01Não se aplicaNão se aplica</t>
  </si>
  <si>
    <t>B1Convencional pré-pagamentoResidencialResidencial baixa renda – faixa 01Não se aplicaNão se aplicaE</t>
  </si>
  <si>
    <t>B1Convencional pré-pagamentoResidencialResidencial baixa renda – faixa 02</t>
  </si>
  <si>
    <t>B1Convencional pré-pagamentoResidencialResidencial baixa renda – faixa 02Não se aplica</t>
  </si>
  <si>
    <t>B1Convencional pré-pagamentoResidencialResidencial baixa renda – faixa 02Não se aplicaNão se aplica</t>
  </si>
  <si>
    <t>B1Convencional pré-pagamentoResidencialResidencial baixa renda – faixa 02Não se aplicaNão se aplicaE</t>
  </si>
  <si>
    <t>B1Convencional pré-pagamentoResidencialResidencial baixa renda – faixa 03</t>
  </si>
  <si>
    <t>B1Convencional pré-pagamentoResidencialResidencial baixa renda – faixa 03Não se aplica</t>
  </si>
  <si>
    <t>B1Convencional pré-pagamentoResidencialResidencial baixa renda – faixa 03Não se aplicaNão se aplica</t>
  </si>
  <si>
    <t>B1Convencional pré-pagamentoResidencialResidencial baixa renda – faixa 03Não se aplicaNão se aplicaE</t>
  </si>
  <si>
    <t>B1Convencional pré-pagamentoResidencialResidencial baixa renda – faixa 04</t>
  </si>
  <si>
    <t>B1Convencional pré-pagamentoResidencialResidencial baixa renda – faixa 04Não se aplica</t>
  </si>
  <si>
    <t>B1Convencional pré-pagamentoResidencialResidencial baixa renda – faixa 04Não se aplicaNão se aplica</t>
  </si>
  <si>
    <t>B1Convencional pré-pagamentoResidencialResidencial baixa renda – faixa 04Não se aplicaNão se aplicaE</t>
  </si>
  <si>
    <t>B2Branca</t>
  </si>
  <si>
    <t>B2BrancaRural</t>
  </si>
  <si>
    <t>B2BrancaRuralNão se aplica</t>
  </si>
  <si>
    <t>B2BrancaRuralNão se aplicaNão se aplica</t>
  </si>
  <si>
    <t>B2BrancaRuralNão se aplicaNão se aplicaNão se aplica</t>
  </si>
  <si>
    <t>B2BrancaRuralNão se aplicaNão se aplicaNão se aplicaEP</t>
  </si>
  <si>
    <t>B2BrancaRuralNão se aplicaNão se aplicaNão se aplicaEINT</t>
  </si>
  <si>
    <t>B2BrancaRuralNão se aplicaNão se aplicaNão se aplicaEFP</t>
  </si>
  <si>
    <t>B2Convencional</t>
  </si>
  <si>
    <t>B2ConvencionalRural</t>
  </si>
  <si>
    <t>B2ConvencionalRuralNão se aplica</t>
  </si>
  <si>
    <t>B2ConvencionalRuralNão se aplicaNão se aplica</t>
  </si>
  <si>
    <t>B2ConvencionalRuralNão se aplicaNão se aplicaNão se aplica</t>
  </si>
  <si>
    <t>B2ConvencionalRuralNão se aplicaNão se aplicaNão se aplicaE</t>
  </si>
  <si>
    <t>B2BrancaRuralCooperativa de eletrificação rural</t>
  </si>
  <si>
    <t>B2BrancaRuralCooperativa de eletrificação ruralNão se aplica</t>
  </si>
  <si>
    <t>B2BrancaRuralCooperativa de eletrificação ruralNão se aplicaNão se aplica</t>
  </si>
  <si>
    <t>B2BrancaRuralCooperativa de eletrificação ruralNão se aplicaNão se aplicaEP</t>
  </si>
  <si>
    <t>B2BrancaRuralCooperativa de eletrificação ruralNão se aplicaNão se aplicaEINT</t>
  </si>
  <si>
    <t>B2BrancaRuralCooperativa de eletrificação ruralNão se aplicaNão se aplicaEFP</t>
  </si>
  <si>
    <t>B2ConvencionalRuralCooperativa de eletrificação rural</t>
  </si>
  <si>
    <t>B2ConvencionalRuralCooperativa de eletrificação ruralNão se aplica</t>
  </si>
  <si>
    <t>B2ConvencionalRuralCooperativa de eletrificação ruralNão se aplicaNão se aplica</t>
  </si>
  <si>
    <t>B2ConvencionalRuralCooperativa de eletrificação ruralNão se aplicaNão se aplicaE</t>
  </si>
  <si>
    <t>B2BrancaRuralServiço público de irrigação rural</t>
  </si>
  <si>
    <t>B2BrancaRuralServiço público de irrigação ruralNão se aplica</t>
  </si>
  <si>
    <t>B2BrancaRuralServiço público de irrigação ruralNão se aplicaNão se aplica</t>
  </si>
  <si>
    <t>B2BrancaRuralServiço público de irrigação ruralNão se aplicaNão se aplicaEP</t>
  </si>
  <si>
    <t>B2BrancaRuralServiço público de irrigação ruralNão se aplicaNão se aplicaEINT</t>
  </si>
  <si>
    <t>B2BrancaRuralServiço público de irrigação ruralNão se aplicaNão se aplicaEFP</t>
  </si>
  <si>
    <t>B2ConvencionalRuralServiço público de irrigação rural</t>
  </si>
  <si>
    <t>B2ConvencionalRuralServiço público de irrigação ruralNão se aplica</t>
  </si>
  <si>
    <t>B2ConvencionalRuralServiço público de irrigação ruralNão se aplicaNão se aplica</t>
  </si>
  <si>
    <t>B2ConvencionalRuralServiço público de irrigação ruralNão se aplicaNão se aplicaE</t>
  </si>
  <si>
    <t>B2Convencional pré-pagamento</t>
  </si>
  <si>
    <t>B2Convencional pré-pagamentoRural</t>
  </si>
  <si>
    <t>B2Convencional pré-pagamentoRuralNão se aplica</t>
  </si>
  <si>
    <t>B2Convencional pré-pagamentoRuralNão se aplicaNão se aplica</t>
  </si>
  <si>
    <t>B2Convencional pré-pagamentoRuralNão se aplicaNão se aplicaNão se aplica</t>
  </si>
  <si>
    <t>B2Convencional pré-pagamentoRuralNão se aplicaNão se aplicaNão se aplicaE</t>
  </si>
  <si>
    <t>B2Convencional pré-pagamentoRuralCooperativa de eletrificação rural</t>
  </si>
  <si>
    <t>B2Convencional pré-pagamentoRuralCooperativa de eletrificação ruralNão se aplica</t>
  </si>
  <si>
    <t>B2Convencional pré-pagamentoRuralCooperativa de eletrificação ruralNão se aplicaNão se aplica</t>
  </si>
  <si>
    <t>B2Convencional pré-pagamentoRuralCooperativa de eletrificação ruralNão se aplicaNão se aplicaE</t>
  </si>
  <si>
    <t>B2Convencional pré-pagamentoRuralServiço público de irrigação rural</t>
  </si>
  <si>
    <t>B2Convencional pré-pagamentoRuralServiço público de irrigação ruralNão se aplica</t>
  </si>
  <si>
    <t>B2Convencional pré-pagamentoRuralServiço público de irrigação ruralNão se aplicaNão se aplica</t>
  </si>
  <si>
    <t>B2Convencional pré-pagamentoRuralServiço público de irrigação ruralNão se aplicaNão se aplicaE</t>
  </si>
  <si>
    <t>B3Branca</t>
  </si>
  <si>
    <t>B3BrancaNão se aplica</t>
  </si>
  <si>
    <t>B3BrancaNão se aplicaNão se aplica</t>
  </si>
  <si>
    <t>B3BrancaNão se aplicaNão se aplicaNão se aplica</t>
  </si>
  <si>
    <t>B3BrancaNão se aplicaNão se aplicaNão se aplicaNão se aplica</t>
  </si>
  <si>
    <t>B3BrancaNão se aplicaNão se aplicaNão se aplicaNão se aplicaEP</t>
  </si>
  <si>
    <t>B3BrancaNão se aplicaNão se aplicaNão se aplicaNão se aplicaEINT</t>
  </si>
  <si>
    <t>B3BrancaNão se aplicaNão se aplicaNão se aplicaNão se aplicaEFP</t>
  </si>
  <si>
    <t>B3Convencional</t>
  </si>
  <si>
    <t>B3ConvencionalNão se aplica</t>
  </si>
  <si>
    <t>B3ConvencionalNão se aplicaNão se aplica</t>
  </si>
  <si>
    <t>B3ConvencionalNão se aplicaNão se aplicaNão se aplica</t>
  </si>
  <si>
    <t>B3ConvencionalNão se aplicaNão se aplicaNão se aplicaNão se aplica</t>
  </si>
  <si>
    <t>B3ConvencionalNão se aplicaNão se aplicaNão se aplicaNão se aplicaE</t>
  </si>
  <si>
    <t>B3Convencional pré-pagamento</t>
  </si>
  <si>
    <t>B3Convencional pré-pagamentoNão se aplica</t>
  </si>
  <si>
    <t>B3Convencional pré-pagamentoNão se aplicaNão se aplica</t>
  </si>
  <si>
    <t>B3Convencional pré-pagamentoNão se aplicaNão se aplicaNão se aplica</t>
  </si>
  <si>
    <t>B3Convencional pré-pagamentoNão se aplicaNão se aplicaNão se aplicaNão se aplica</t>
  </si>
  <si>
    <t>B3Convencional pré-pagamentoNão se aplicaNão se aplicaNão se aplicaNão se aplicaE</t>
  </si>
  <si>
    <t>B4Convencional</t>
  </si>
  <si>
    <t>B4ConvencionalIluminação pública</t>
  </si>
  <si>
    <t>B4ConvencionalIluminação públicaIluminação pública – B4a</t>
  </si>
  <si>
    <t>B4ConvencionalIluminação públicaIluminação pública – B4aNão se aplica</t>
  </si>
  <si>
    <t>B4ConvencionalIluminação públicaIluminação pública – B4aNão se aplicaNão se aplica</t>
  </si>
  <si>
    <t>B4ConvencionalIluminação públicaIluminação pública – B4aNão se aplicaNão se aplicaE</t>
  </si>
  <si>
    <t>B4ConvencionalIluminação públicaIluminação pública – B4b</t>
  </si>
  <si>
    <t>B4ConvencionalIluminação públicaIluminação pública – B4bNão se aplica</t>
  </si>
  <si>
    <t>B4ConvencionalIluminação públicaIluminação pública – B4bNão se aplicaNão se aplica</t>
  </si>
  <si>
    <t>B4ConvencionalIluminação públicaIluminação pública – B4bNão se aplicaNão se aplicaE</t>
  </si>
  <si>
    <t>TE BASE FINANCEIRA NOVA</t>
  </si>
  <si>
    <t>TE BASE FINANCEIRA VIGENTE</t>
  </si>
  <si>
    <t>A4Energia horária</t>
  </si>
  <si>
    <t>A4Energia horáriaNão se aplica</t>
  </si>
  <si>
    <t>A4Energia horáriaNão se aplicaNão se aplica</t>
  </si>
  <si>
    <t>A4Energia horáriaNão se aplicaNão se aplicaNão se aplica</t>
  </si>
  <si>
    <t>A4Energia horáriaNão se aplicaNão se aplicaNão se aplicaNão se aplica</t>
  </si>
  <si>
    <t>A4Energia horáriaNão se aplicaNão se aplicaNão se aplicaNão se aplicaEP</t>
  </si>
  <si>
    <t>A4Energia horáriaNão se aplicaNão se aplicaNão se aplicaNão se aplicaEFP</t>
  </si>
  <si>
    <t>B1Energia horária</t>
  </si>
  <si>
    <t>B1Energia horáriaResidencial</t>
  </si>
  <si>
    <t>B1Energia horáriaResidencialResidencial</t>
  </si>
  <si>
    <t>B1Energia horáriaResidencialResidencialNão se aplica</t>
  </si>
  <si>
    <t>B1Energia horáriaResidencialResidencialNão se aplicaNão se aplica</t>
  </si>
  <si>
    <t>B1Energia horáriaResidencialResidencialNão se aplicaNão se aplicaEP</t>
  </si>
  <si>
    <t>B1Energia horáriaResidencialResidencialNão se aplicaNão se aplicaEINT</t>
  </si>
  <si>
    <t>B1Energia horáriaResidencialResidencialNão se aplicaNão se aplicaEFP</t>
  </si>
  <si>
    <t>B1Energia convencional</t>
  </si>
  <si>
    <t>B1Energia convencionalResidencial</t>
  </si>
  <si>
    <t>B1Energia convencionalResidencialResidencial</t>
  </si>
  <si>
    <t>B1Energia convencionalResidencialResidencialNão se aplica</t>
  </si>
  <si>
    <t>B1Energia convencionalResidencialResidencialNão se aplicaNão se aplica</t>
  </si>
  <si>
    <t>B1Energia convencionalResidencialResidencialNão se aplicaNão se aplicaE</t>
  </si>
  <si>
    <t>B1Energia convencionalResidencialResidencial baixa renda – faixa 01</t>
  </si>
  <si>
    <t>B1Energia convencionalResidencialResidencial baixa renda – faixa 01Não se aplica</t>
  </si>
  <si>
    <t>B1Energia convencionalResidencialResidencial baixa renda – faixa 01Não se aplicaNão se aplica</t>
  </si>
  <si>
    <t>B1Energia convencionalResidencialResidencial baixa renda – faixa 01Não se aplicaNão se aplicaE</t>
  </si>
  <si>
    <t>B1Energia convencionalResidencialResidencial baixa renda – faixa 02</t>
  </si>
  <si>
    <t>B1Energia convencionalResidencialResidencial baixa renda – faixa 02Não se aplica</t>
  </si>
  <si>
    <t>B1Energia convencionalResidencialResidencial baixa renda – faixa 02Não se aplicaNão se aplica</t>
  </si>
  <si>
    <t>B1Energia convencionalResidencialResidencial baixa renda – faixa 02Não se aplicaNão se aplicaE</t>
  </si>
  <si>
    <t>B1Energia convencionalResidencialResidencial baixa renda – faixa 03</t>
  </si>
  <si>
    <t>B1Energia convencionalResidencialResidencial baixa renda – faixa 03Não se aplica</t>
  </si>
  <si>
    <t>B1Energia convencionalResidencialResidencial baixa renda – faixa 03Não se aplicaNão se aplica</t>
  </si>
  <si>
    <t>B1Energia convencionalResidencialResidencial baixa renda – faixa 03Não se aplicaNão se aplicaE</t>
  </si>
  <si>
    <t>B1Energia convencionalResidencialResidencial baixa renda – faixa 04</t>
  </si>
  <si>
    <t>B1Energia convencionalResidencialResidencial baixa renda – faixa 04Não se aplica</t>
  </si>
  <si>
    <t>B1Energia convencionalResidencialResidencial baixa renda – faixa 04Não se aplicaNão se aplica</t>
  </si>
  <si>
    <t>B1Energia convencionalResidencialResidencial baixa renda – faixa 04Não se aplicaNão se aplicaE</t>
  </si>
  <si>
    <t>B1Energia convencional pré-pagamento</t>
  </si>
  <si>
    <t>B1Energia convencional pré-pagamentoResidencial</t>
  </si>
  <si>
    <t>B1Energia convencional pré-pagamentoResidencialResidencial</t>
  </si>
  <si>
    <t>B1Energia convencional pré-pagamentoResidencialResidencialNão se aplica</t>
  </si>
  <si>
    <t>B1Energia convencional pré-pagamentoResidencialResidencialNão se aplicaNão se aplica</t>
  </si>
  <si>
    <t>B1Energia convencional pré-pagamentoResidencialResidencialNão se aplicaNão se aplicaE</t>
  </si>
  <si>
    <t>B1Energia convencional pré-pagamentoResidencialResidencial baixa renda – faixa 01</t>
  </si>
  <si>
    <t>B1Energia convencional pré-pagamentoResidencialResidencial baixa renda – faixa 01Não se aplica</t>
  </si>
  <si>
    <t>B1Energia convencional pré-pagamentoResidencialResidencial baixa renda – faixa 01Não se aplicaNão se aplica</t>
  </si>
  <si>
    <t>B1Energia convencional pré-pagamentoResidencialResidencial baixa renda – faixa 01Não se aplicaNão se aplicaE</t>
  </si>
  <si>
    <t>B1Energia convencional pré-pagamentoResidencialResidencial baixa renda – faixa 02</t>
  </si>
  <si>
    <t>B1Energia convencional pré-pagamentoResidencialResidencial baixa renda – faixa 02Não se aplica</t>
  </si>
  <si>
    <t>B1Energia convencional pré-pagamentoResidencialResidencial baixa renda – faixa 02Não se aplicaNão se aplica</t>
  </si>
  <si>
    <t>B1Energia convencional pré-pagamentoResidencialResidencial baixa renda – faixa 02Não se aplicaNão se aplicaE</t>
  </si>
  <si>
    <t>B1Energia convencional pré-pagamentoResidencialResidencial baixa renda – faixa 03</t>
  </si>
  <si>
    <t>B1Energia convencional pré-pagamentoResidencialResidencial baixa renda – faixa 03Não se aplica</t>
  </si>
  <si>
    <t>B1Energia convencional pré-pagamentoResidencialResidencial baixa renda – faixa 03Não se aplicaNão se aplica</t>
  </si>
  <si>
    <t>B1Energia convencional pré-pagamentoResidencialResidencial baixa renda – faixa 03Não se aplicaNão se aplicaE</t>
  </si>
  <si>
    <t>B1Energia convencional pré-pagamentoResidencialResidencial baixa renda – faixa 04</t>
  </si>
  <si>
    <t>B1Energia convencional pré-pagamentoResidencialResidencial baixa renda – faixa 04Não se aplica</t>
  </si>
  <si>
    <t>B1Energia convencional pré-pagamentoResidencialResidencial baixa renda – faixa 04Não se aplicaNão se aplica</t>
  </si>
  <si>
    <t>B1Energia convencional pré-pagamentoResidencialResidencial baixa renda – faixa 04Não se aplicaNão se aplicaE</t>
  </si>
  <si>
    <t>B2Energia horária</t>
  </si>
  <si>
    <t>B2Energia horáriaRural</t>
  </si>
  <si>
    <t>B2Energia horáriaRuralNão se aplica</t>
  </si>
  <si>
    <t>B2Energia horáriaRuralNão se aplicaNão se aplica</t>
  </si>
  <si>
    <t>B2Energia horáriaRuralNão se aplicaNão se aplicaNão se aplica</t>
  </si>
  <si>
    <t>B2Energia horáriaRuralNão se aplicaNão se aplicaNão se aplicaEP</t>
  </si>
  <si>
    <t>B2Energia horáriaRuralNão se aplicaNão se aplicaNão se aplicaEINT</t>
  </si>
  <si>
    <t>B2Energia horáriaRuralNão se aplicaNão se aplicaNão se aplicaEFP</t>
  </si>
  <si>
    <t>B2Energia convencional</t>
  </si>
  <si>
    <t>B2Energia convencionalRural</t>
  </si>
  <si>
    <t>B2Energia convencionalRuralNão se aplica</t>
  </si>
  <si>
    <t>B2Energia convencionalRuralNão se aplicaNão se aplica</t>
  </si>
  <si>
    <t>B2Energia convencionalRuralNão se aplicaNão se aplicaNão se aplica</t>
  </si>
  <si>
    <t>B2Energia convencionalRuralNão se aplicaNão se aplicaNão se aplicaE</t>
  </si>
  <si>
    <t>B2Energia horáriaRuralCooperativa de eletrificação rural</t>
  </si>
  <si>
    <t>B2Energia horáriaRuralCooperativa de eletrificação ruralNão se aplica</t>
  </si>
  <si>
    <t>B2Energia horáriaRuralCooperativa de eletrificação ruralNão se aplicaNão se aplica</t>
  </si>
  <si>
    <t>B2Energia horáriaRuralCooperativa de eletrificação ruralNão se aplicaNão se aplicaEP</t>
  </si>
  <si>
    <t>B2Energia horáriaRuralCooperativa de eletrificação ruralNão se aplicaNão se aplicaEINT</t>
  </si>
  <si>
    <t>B2Energia horáriaRuralCooperativa de eletrificação ruralNão se aplicaNão se aplicaEFP</t>
  </si>
  <si>
    <t>B2Energia convencionalRuralCooperativa de eletrificação rural</t>
  </si>
  <si>
    <t>B2Energia convencionalRuralCooperativa de eletrificação ruralNão se aplica</t>
  </si>
  <si>
    <t>B2Energia convencionalRuralCooperativa de eletrificação ruralNão se aplicaNão se aplica</t>
  </si>
  <si>
    <t>B2Energia convencionalRuralCooperativa de eletrificação ruralNão se aplicaNão se aplicaE</t>
  </si>
  <si>
    <t>B2Energia horáriaRuralServiço público de irrigação rural</t>
  </si>
  <si>
    <t>B2Energia horáriaRuralServiço público de irrigação ruralNão se aplica</t>
  </si>
  <si>
    <t>B2Energia horáriaRuralServiço público de irrigação ruralNão se aplicaNão se aplica</t>
  </si>
  <si>
    <t>B2Energia horáriaRuralServiço público de irrigação ruralNão se aplicaNão se aplicaEP</t>
  </si>
  <si>
    <t>B2Energia horáriaRuralServiço público de irrigação ruralNão se aplicaNão se aplicaEINT</t>
  </si>
  <si>
    <t>B2Energia horáriaRuralServiço público de irrigação ruralNão se aplicaNão se aplicaEFP</t>
  </si>
  <si>
    <t>B2Energia convencionalRuralServiço público de irrigação rural</t>
  </si>
  <si>
    <t>B2Energia convencionalRuralServiço público de irrigação ruralNão se aplica</t>
  </si>
  <si>
    <t>B2Energia convencionalRuralServiço público de irrigação ruralNão se aplicaNão se aplica</t>
  </si>
  <si>
    <t>B2Energia convencionalRuralServiço público de irrigação ruralNão se aplicaNão se aplicaE</t>
  </si>
  <si>
    <t>B2Energia convencional pré-pagamento</t>
  </si>
  <si>
    <t>B2Energia convencional pré-pagamentoRural</t>
  </si>
  <si>
    <t>B2Energia convencional pré-pagamentoRuralNão se aplica</t>
  </si>
  <si>
    <t>B2Energia convencional pré-pagamentoRuralNão se aplicaNão se aplica</t>
  </si>
  <si>
    <t>B2Energia convencional pré-pagamentoRuralNão se aplicaNão se aplicaNão se aplica</t>
  </si>
  <si>
    <t>B2Energia convencional pré-pagamentoRuralNão se aplicaNão se aplicaNão se aplicaE</t>
  </si>
  <si>
    <t>B2Energia convencional pré-pagamentoRuralCooperativa de eletrificação rural</t>
  </si>
  <si>
    <t>B2Energia convencional pré-pagamentoRuralCooperativa de eletrificação ruralNão se aplica</t>
  </si>
  <si>
    <t>B2Energia convencional pré-pagamentoRuralCooperativa de eletrificação ruralNão se aplicaNão se aplica</t>
  </si>
  <si>
    <t>B2Energia convencional pré-pagamentoRuralCooperativa de eletrificação ruralNão se aplicaNão se aplicaE</t>
  </si>
  <si>
    <t>B2Energia convencional pré-pagamentoRuralServiço público de irrigação rural</t>
  </si>
  <si>
    <t>B2Energia convencional pré-pagamentoRuralServiço público de irrigação ruralNão se aplica</t>
  </si>
  <si>
    <t>B2Energia convencional pré-pagamentoRuralServiço público de irrigação ruralNão se aplicaNão se aplica</t>
  </si>
  <si>
    <t>B2Energia convencional pré-pagamentoRuralServiço público de irrigação ruralNão se aplicaNão se aplicaE</t>
  </si>
  <si>
    <t>B3Energia horária</t>
  </si>
  <si>
    <t>B3Energia horáriaNão se aplica</t>
  </si>
  <si>
    <t>B3Energia horáriaNão se aplicaNão se aplica</t>
  </si>
  <si>
    <t>B3Energia horáriaNão se aplicaNão se aplicaNão se aplica</t>
  </si>
  <si>
    <t>B3Energia horáriaNão se aplicaNão se aplicaNão se aplicaNão se aplica</t>
  </si>
  <si>
    <t>B3Energia horáriaNão se aplicaNão se aplicaNão se aplicaNão se aplicaEP</t>
  </si>
  <si>
    <t>B3Energia horáriaNão se aplicaNão se aplicaNão se aplicaNão se aplicaEINT</t>
  </si>
  <si>
    <t>B3Energia horáriaNão se aplicaNão se aplicaNão se aplicaNão se aplicaEFP</t>
  </si>
  <si>
    <t>B3Energia convencional</t>
  </si>
  <si>
    <t>B3Energia convencionalNão se aplica</t>
  </si>
  <si>
    <t>B3Energia convencionalNão se aplicaNão se aplica</t>
  </si>
  <si>
    <t>B3Energia convencionalNão se aplicaNão se aplicaNão se aplica</t>
  </si>
  <si>
    <t>B3Energia convencionalNão se aplicaNão se aplicaNão se aplicaNão se aplica</t>
  </si>
  <si>
    <t>B3Energia convencionalNão se aplicaNão se aplicaNão se aplicaNão se aplicaE</t>
  </si>
  <si>
    <t>B3Energia convencional pré-pagamento</t>
  </si>
  <si>
    <t>B3Energia convencional pré-pagamentoNão se aplica</t>
  </si>
  <si>
    <t>B3Energia convencional pré-pagamentoNão se aplicaNão se aplica</t>
  </si>
  <si>
    <t>B3Energia convencional pré-pagamentoNão se aplicaNão se aplicaNão se aplica</t>
  </si>
  <si>
    <t>B3Energia convencional pré-pagamentoNão se aplicaNão se aplicaNão se aplicaNão se aplica</t>
  </si>
  <si>
    <t>B3Energia convencional pré-pagamentoNão se aplicaNão se aplicaNão se aplicaNão se aplicaE</t>
  </si>
  <si>
    <t>B4Energia convencional</t>
  </si>
  <si>
    <t>B4Energia convencionalIluminação pública</t>
  </si>
  <si>
    <t>B4Energia convencionalIluminação públicaIluminação pública – B4a</t>
  </si>
  <si>
    <t>B4Energia convencionalIluminação públicaIluminação pública – B4aNão se aplica</t>
  </si>
  <si>
    <t>B4Energia convencionalIluminação públicaIluminação pública – B4aNão se aplicaNão se aplica</t>
  </si>
  <si>
    <t>B4Energia convencionalIluminação públicaIluminação pública – B4aNão se aplicaNão se aplicaE</t>
  </si>
  <si>
    <t>B4Energia convencionalIluminação públicaIluminação pública – B4b</t>
  </si>
  <si>
    <t>B4Energia convencionalIluminação públicaIluminação pública – B4bNão se aplica</t>
  </si>
  <si>
    <t>B4Energia convencionalIluminação públicaIluminação pública – B4bNão se aplicaNão se aplica</t>
  </si>
  <si>
    <t>B4Energia convencionalIluminação públicaIluminação pública – B4bNão se aplicaNão se aplicaE</t>
  </si>
  <si>
    <t>CUSTOS REGULATÓRIOS</t>
  </si>
  <si>
    <t>TOTAL RA0/RV</t>
  </si>
  <si>
    <t>TOTAL RA1/RRD</t>
  </si>
  <si>
    <t>TOTAL SUBGRUPO A0</t>
  </si>
  <si>
    <t>TOTAL SUBGRUPO A1</t>
  </si>
  <si>
    <t>TOTAL ANÁLISE A0</t>
  </si>
  <si>
    <t>TOTAL ANÁLISE A1</t>
  </si>
  <si>
    <t>CHAVE</t>
  </si>
  <si>
    <t>VAR. GLOBAL</t>
  </si>
  <si>
    <t>VAR. SELEÇÃO SUBG.</t>
  </si>
  <si>
    <t>VAR. SELEÇÃO MDT</t>
  </si>
  <si>
    <t>FRC</t>
  </si>
  <si>
    <t>OPERAÇÃO E MANUTENÇÃO - O&amp;M (R$)</t>
  </si>
  <si>
    <t>TAXA DE DEPRECIAÇÃO - D (%)</t>
  </si>
  <si>
    <t>PARCELA B REVISÃO (R$)</t>
  </si>
  <si>
    <t>CARGA TRIBUTÁRIA (%)</t>
  </si>
  <si>
    <t>WACC ANTES DOS TRIBUTOS (%)</t>
  </si>
  <si>
    <t>VALOR</t>
  </si>
  <si>
    <t>DESCRIÇÃO PARÂMETROS</t>
  </si>
  <si>
    <t>TUSD FIO B - FORA PONTA (R$/kW)</t>
  </si>
  <si>
    <t>K</t>
  </si>
  <si>
    <t>B4b</t>
  </si>
  <si>
    <t>B4a</t>
  </si>
  <si>
    <t>B2-IRRIGANTE</t>
  </si>
  <si>
    <t>B2-RURAL</t>
  </si>
  <si>
    <t>SUBGRUPO TARIFÁRIO</t>
  </si>
  <si>
    <t>Total TUSD</t>
  </si>
  <si>
    <t>Total TE</t>
  </si>
  <si>
    <t>TUSD_CDE_COVID</t>
  </si>
  <si>
    <t>TUSD_TFSEE</t>
  </si>
  <si>
    <t>TUSD_PeD</t>
  </si>
  <si>
    <t>TUSD_ONS</t>
  </si>
  <si>
    <t>TUSD_CCC</t>
  </si>
  <si>
    <t>TUSD_CDE</t>
  </si>
  <si>
    <t>TUSD_PROINFA</t>
  </si>
  <si>
    <t>Liminar1</t>
  </si>
  <si>
    <t>TUSD_RB</t>
  </si>
  <si>
    <t>TUSD_FR</t>
  </si>
  <si>
    <t>TUSD_CCT</t>
  </si>
  <si>
    <t>TUSD_CCD</t>
  </si>
  <si>
    <t>TUSD_CUSD</t>
  </si>
  <si>
    <t>TUSDG_T</t>
  </si>
  <si>
    <t>TUSDG_ONS</t>
  </si>
  <si>
    <t>TUSD_FioB</t>
  </si>
  <si>
    <t>TUSD Subsidio</t>
  </si>
  <si>
    <t>TUSD BENEFICIO_L14299</t>
  </si>
  <si>
    <t>TUSD Outros</t>
  </si>
  <si>
    <t>TUSD_PT</t>
  </si>
  <si>
    <t>TUSD_Per_RB_D</t>
  </si>
  <si>
    <t>TUSD_PNT</t>
  </si>
  <si>
    <t>TUSD_RI</t>
  </si>
  <si>
    <t>TE_CDE_COVID</t>
  </si>
  <si>
    <t>TE_CDE_ELET</t>
  </si>
  <si>
    <t>TE_PeD</t>
  </si>
  <si>
    <t>TE_ESSERR</t>
  </si>
  <si>
    <t>TE_CFURH</t>
  </si>
  <si>
    <t>TE_ENERGIA</t>
  </si>
  <si>
    <t>TE_TRANSPORTE_ITAIPU</t>
  </si>
  <si>
    <t>TE_TUST_ITAIPU</t>
  </si>
  <si>
    <t>TE_TUST_CI</t>
  </si>
  <si>
    <t>TE Subsidio</t>
  </si>
  <si>
    <t>TE BENEFICIO_L14299</t>
  </si>
  <si>
    <t>TE_Per_RB</t>
  </si>
  <si>
    <t>Baixa Renda</t>
  </si>
  <si>
    <t>Perdas</t>
  </si>
  <si>
    <t xml:space="preserve">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</si>
</sst>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0%_);[Red]\(#,##0.00%\)"/>
    <numFmt numFmtId="166" formatCode="#0.00%;[Red]#0.00%"/>
    <numFmt numFmtId="167" formatCode="0.00%_);[Red]\(0.00%\)"/>
    <numFmt numFmtId="168" formatCode="#,##0.00_ ;[Red]\-#,##0.00\ "/>
    <numFmt numFmtId="169" formatCode="#,##0.00;[Red]#,##0.00"/>
  </numFmts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3" tint="-0.249977111117893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8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0" fontId="3" fillId="0" borderId="0" xfId="0" applyFont="1"/>
    <xf numFmtId="4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40" fontId="3" fillId="0" borderId="8" xfId="0" applyNumberFormat="1" applyFont="1" applyBorder="1" applyAlignment="1">
      <alignment vertical="center"/>
    </xf>
    <xf numFmtId="40" fontId="4" fillId="0" borderId="8" xfId="0" applyNumberFormat="1" applyFont="1" applyBorder="1" applyAlignment="1">
      <alignment horizontal="center" vertical="center"/>
    </xf>
    <xf numFmtId="40" fontId="3" fillId="0" borderId="9" xfId="0" applyNumberFormat="1" applyFont="1" applyBorder="1" applyAlignment="1">
      <alignment vertical="center"/>
    </xf>
    <xf numFmtId="40" fontId="4" fillId="0" borderId="9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40" fontId="3" fillId="0" borderId="13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0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0" fontId="4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0" fontId="1" fillId="0" borderId="13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0" fontId="3" fillId="0" borderId="0" xfId="0" pivotButton="1" applyFont="1"/>
    <xf numFmtId="40" fontId="3" fillId="0" borderId="0" xfId="0" applyNumberFormat="1" applyFont="1"/>
    <xf numFmtId="167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6"/>
    </xf>
    <xf numFmtId="0" fontId="3" fillId="0" borderId="0" xfId="0" applyFont="1" applyAlignment="1">
      <alignment horizontal="left" indent="7"/>
    </xf>
    <xf numFmtId="14" fontId="3" fillId="0" borderId="0" xfId="0" applyNumberFormat="1" applyFont="1" applyAlignment="1">
      <alignment horizontal="left" indent="8"/>
    </xf>
    <xf numFmtId="0" fontId="3" fillId="0" borderId="13" xfId="0" applyFont="1" applyBorder="1"/>
    <xf numFmtId="0" fontId="4" fillId="0" borderId="13" xfId="0" applyFont="1" applyBorder="1"/>
    <xf numFmtId="40" fontId="1" fillId="2" borderId="0" xfId="0" applyNumberFormat="1" applyFont="1" applyFill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/>
    <xf numFmtId="40" fontId="2" fillId="0" borderId="13" xfId="0" applyNumberFormat="1" applyFont="1" applyBorder="1" applyAlignment="1">
      <alignment horizontal="center" vertical="center"/>
    </xf>
    <xf numFmtId="165" fontId="3" fillId="0" borderId="0" xfId="0" applyNumberFormat="1" applyFont="1"/>
    <xf numFmtId="0" fontId="3" fillId="0" borderId="13" xfId="0" applyFont="1" applyBorder="1" applyAlignment="1">
      <alignment vertical="center"/>
    </xf>
    <xf numFmtId="168" fontId="3" fillId="0" borderId="0" xfId="0" applyNumberFormat="1" applyFont="1"/>
    <xf numFmtId="164" fontId="3" fillId="0" borderId="0" xfId="1" applyFont="1"/>
    <xf numFmtId="164" fontId="1" fillId="0" borderId="0" xfId="0" applyNumberFormat="1" applyFont="1" applyAlignment="1">
      <alignment horizontal="center" vertical="center"/>
    </xf>
    <xf numFmtId="165" fontId="3" fillId="0" borderId="13" xfId="0" applyNumberFormat="1" applyFont="1" applyBorder="1" applyAlignment="1">
      <alignment vertical="center"/>
    </xf>
    <xf numFmtId="40" fontId="3" fillId="0" borderId="13" xfId="0" applyNumberFormat="1" applyFont="1" applyBorder="1" applyAlignment="1">
      <alignment horizontal="left" vertical="center" indent="1"/>
    </xf>
    <xf numFmtId="40" fontId="3" fillId="0" borderId="13" xfId="0" quotePrefix="1" applyNumberFormat="1" applyFont="1" applyBorder="1" applyAlignment="1">
      <alignment horizontal="left" vertical="center" indent="1"/>
    </xf>
    <xf numFmtId="10" fontId="3" fillId="0" borderId="0" xfId="0" applyNumberFormat="1" applyFont="1"/>
    <xf numFmtId="2" fontId="8" fillId="3" borderId="15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indent="1"/>
    </xf>
    <xf numFmtId="4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horizontal="left" vertical="center" indent="1"/>
    </xf>
    <xf numFmtId="10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horizontal="left" vertical="center" indent="1"/>
    </xf>
    <xf numFmtId="10" fontId="8" fillId="4" borderId="0" xfId="0" applyNumberFormat="1" applyFont="1" applyFill="1" applyAlignment="1">
      <alignment vertical="center"/>
    </xf>
    <xf numFmtId="0" fontId="9" fillId="5" borderId="16" xfId="0" applyFont="1" applyFill="1" applyBorder="1" applyAlignment="1">
      <alignment horizontal="center" vertical="center"/>
    </xf>
    <xf numFmtId="40" fontId="8" fillId="3" borderId="15" xfId="0" applyNumberFormat="1" applyFont="1" applyFill="1" applyBorder="1" applyAlignment="1">
      <alignment horizontal="center" vertical="center"/>
    </xf>
    <xf numFmtId="169" fontId="8" fillId="4" borderId="0" xfId="0" applyNumberFormat="1" applyFont="1" applyFill="1" applyAlignment="1">
      <alignment horizontal="center" vertical="center"/>
    </xf>
    <xf numFmtId="40" fontId="3" fillId="0" borderId="1" xfId="0" applyNumberFormat="1" applyFont="1" applyBorder="1" applyAlignment="1">
      <alignment horizontal="left" vertical="center"/>
    </xf>
    <xf numFmtId="40" fontId="0" fillId="0" borderId="1" xfId="0" applyNumberForma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40" fontId="0" fillId="0" borderId="1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0" fontId="4" fillId="0" borderId="10" xfId="0" applyNumberFormat="1" applyFont="1" applyBorder="1" applyAlignment="1">
      <alignment horizontal="center" vertical="center"/>
    </xf>
    <xf numFmtId="40" fontId="6" fillId="0" borderId="11" xfId="0" applyNumberFormat="1" applyFont="1" applyBorder="1" applyAlignment="1">
      <alignment horizontal="center" vertical="center"/>
    </xf>
    <xf numFmtId="40" fontId="6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11" fillId="6" borderId="18" xfId="0" applyNumberFormat="1" applyFont="1" applyFill="1" applyBorder="1"/>
    <xf numFmtId="4" fontId="11" fillId="6" borderId="12" xfId="0" applyNumberFormat="1" applyFont="1" applyFill="1" applyBorder="1"/>
    <xf numFmtId="4" fontId="11" fillId="6" borderId="19" xfId="0" applyNumberFormat="1" applyFont="1" applyFill="1" applyBorder="1"/>
    <xf numFmtId="4" fontId="11" fillId="6" borderId="6" xfId="0" applyNumberFormat="1" applyFont="1" applyFill="1" applyBorder="1"/>
    <xf numFmtId="4" fontId="11" fillId="6" borderId="13" xfId="0" applyNumberFormat="1" applyFont="1" applyFill="1" applyBorder="1"/>
    <xf numFmtId="4" fontId="11" fillId="6" borderId="5" xfId="0" applyNumberFormat="1" applyFont="1" applyFill="1" applyBorder="1"/>
    <xf numFmtId="4" fontId="11" fillId="6" borderId="20" xfId="0" applyNumberFormat="1" applyFont="1" applyFill="1" applyBorder="1"/>
    <xf numFmtId="4" fontId="11" fillId="6" borderId="10" xfId="0" applyNumberFormat="1" applyFont="1" applyFill="1" applyBorder="1"/>
    <xf numFmtId="4" fontId="11" fillId="6" borderId="17" xfId="0" applyNumberFormat="1" applyFont="1" applyFill="1" applyBorder="1"/>
    <xf numFmtId="4" fontId="11" fillId="6" borderId="13" xfId="0" applyNumberFormat="1" applyFont="1" applyFill="1" applyBorder="1" applyAlignment="1">
      <alignment horizontal="center"/>
    </xf>
    <xf numFmtId="4" fontId="11" fillId="6" borderId="12" xfId="0" applyNumberFormat="1" applyFont="1" applyFill="1" applyBorder="1" applyAlignment="1">
      <alignment horizontal="center"/>
    </xf>
    <xf numFmtId="4" fontId="11" fillId="6" borderId="19" xfId="0" applyNumberFormat="1" applyFont="1" applyFill="1" applyBorder="1" applyAlignment="1">
      <alignment horizontal="center"/>
    </xf>
    <xf numFmtId="4" fontId="11" fillId="6" borderId="19" xfId="0" applyNumberFormat="1" applyFont="1" applyFill="1" applyBorder="1" applyAlignment="1">
      <alignment horizontal="center"/>
    </xf>
    <xf numFmtId="4" fontId="11" fillId="6" borderId="12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793"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70" formatCode="#,##0.00_);[Red]\(#,##0.00\)"/>
    </dxf>
    <dxf>
      <numFmt numFmtId="170" formatCode="#,##0.00_);[Red]\(#,##0.00\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7" formatCode="0.00%_);[Red]\(0.00%\)"/>
    </dxf>
    <dxf>
      <numFmt numFmtId="167" formatCode="0.00%_);[Red]\(0.00%\)"/>
    </dxf>
    <dxf>
      <numFmt numFmtId="170" formatCode="#,##0.00_);[Red]\(#,##0.00\)"/>
    </dxf>
    <dxf>
      <numFmt numFmtId="170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1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1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TUSD'!$A$13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TUSD'!$B$13:$W$13</c:f>
              <c:numCache>
                <c:formatCode>General</c:formatCode>
                <c:ptCount val="22"/>
                <c:pt idx="0">
                  <c:v>0</c:v>
                </c:pt>
                <c:pt idx="1">
                  <c:v>-4.2048122346338219E-4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4.4278040161708138E-2</c:v>
                </c:pt>
                <c:pt idx="6">
                  <c:v>1.0078241645526504E-2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1.7722517863414881E-2</c:v>
                </c:pt>
                <c:pt idx="13">
                  <c:v>0</c:v>
                </c:pt>
                <c:pt idx="14">
                  <c:v>0</c:v>
                </c:pt>
                <c:pt idx="15">
                  <c:v>-1.7577186011696103E-3</c:v>
                </c:pt>
                <c:pt idx="16">
                  <c:v>0</c:v>
                </c:pt>
                <c:pt idx="17">
                  <c:v>0</c:v>
                </c:pt>
                <c:pt idx="18">
                  <c:v>-1.5501535091908042E-2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0-4530-ACBB-9518C6FEAE44}"/>
            </c:ext>
          </c:extLst>
        </c:ser>
        <c:ser>
          <c:idx val="1"/>
          <c:order val="1"/>
          <c:tx>
            <c:strRef>
              <c:f>'RESUMO TUSD'!$A$14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TUSD'!$B$14:$W$14</c:f>
              <c:numCache>
                <c:formatCode>General</c:formatCode>
                <c:ptCount val="22"/>
                <c:pt idx="0">
                  <c:v>0</c:v>
                </c:pt>
                <c:pt idx="1">
                  <c:v>-3.6061428154156013E-4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3.4734392702496085E-2</c:v>
                </c:pt>
                <c:pt idx="6">
                  <c:v>9.6378610616945151E-3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1.1270094829719886E-2</c:v>
                </c:pt>
                <c:pt idx="13">
                  <c:v>0</c:v>
                </c:pt>
                <c:pt idx="14">
                  <c:v>0</c:v>
                </c:pt>
                <c:pt idx="15">
                  <c:v>-8.0280809024954169E-3</c:v>
                </c:pt>
                <c:pt idx="16">
                  <c:v>0</c:v>
                </c:pt>
                <c:pt idx="17">
                  <c:v>0</c:v>
                </c:pt>
                <c:pt idx="18">
                  <c:v>-1.1463604273210699E-2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0-4530-ACBB-9518C6FEAE44}"/>
            </c:ext>
          </c:extLst>
        </c:ser>
        <c:ser>
          <c:idx val="2"/>
          <c:order val="2"/>
          <c:tx>
            <c:strRef>
              <c:f>'RESUMO TUSD'!$A$15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TUSD'!$B$15:$W$15</c:f>
              <c:numCache>
                <c:formatCode>General</c:formatCode>
                <c:ptCount val="22"/>
                <c:pt idx="0">
                  <c:v>0</c:v>
                </c:pt>
                <c:pt idx="1">
                  <c:v>-3.6061428154156013E-4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3.4734392702496085E-2</c:v>
                </c:pt>
                <c:pt idx="6">
                  <c:v>9.6378610616945151E-3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1.1270094829719886E-2</c:v>
                </c:pt>
                <c:pt idx="13">
                  <c:v>0</c:v>
                </c:pt>
                <c:pt idx="14">
                  <c:v>0</c:v>
                </c:pt>
                <c:pt idx="15">
                  <c:v>-8.0280809024954169E-3</c:v>
                </c:pt>
                <c:pt idx="16">
                  <c:v>0</c:v>
                </c:pt>
                <c:pt idx="17">
                  <c:v>0</c:v>
                </c:pt>
                <c:pt idx="18">
                  <c:v>-1.1463604273210699E-2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0-4530-ACBB-9518C6FEAE44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A5A0-4530-ACBB-9518C6FEAE44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A5A0-4530-ACBB-9518C6FEAE44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A5A0-4530-ACBB-9518C6FE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98416"/>
        <c:axId val="473403336"/>
      </c:radarChart>
      <c:catAx>
        <c:axId val="473398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73403336"/>
        <c:crosses val="autoZero"/>
        <c:auto val="1"/>
        <c:lblAlgn val="ctr"/>
        <c:lblOffset val="100"/>
        <c:noMultiLvlLbl val="0"/>
      </c:catAx>
      <c:valAx>
        <c:axId val="47340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398416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TE'!$A$13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TE'!$B$13:$L$13</c:f>
              <c:numCache>
                <c:formatCode>General</c:formatCode>
                <c:ptCount val="11"/>
                <c:pt idx="0">
                  <c:v>0</c:v>
                </c:pt>
                <c:pt idx="1">
                  <c:v>5.2558725899349672E-2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-0.32397093389730647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D-4F4D-861B-CFC40DD33F57}"/>
            </c:ext>
          </c:extLst>
        </c:ser>
        <c:ser>
          <c:idx val="1"/>
          <c:order val="1"/>
          <c:tx>
            <c:strRef>
              <c:f>'RESUMO TE'!$A$14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TE'!$B$14:$L$14</c:f>
              <c:numCache>
                <c:formatCode>General</c:formatCode>
                <c:ptCount val="11"/>
                <c:pt idx="0">
                  <c:v>0</c:v>
                </c:pt>
                <c:pt idx="1">
                  <c:v>5.1528606097352027E-2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-0.33722070195774134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D-4F4D-861B-CFC40DD33F57}"/>
            </c:ext>
          </c:extLst>
        </c:ser>
        <c:ser>
          <c:idx val="2"/>
          <c:order val="2"/>
          <c:tx>
            <c:strRef>
              <c:f>'RESUMO TE'!$A$15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TE'!$B$15:$L$15</c:f>
              <c:numCache>
                <c:formatCode>General</c:formatCode>
                <c:ptCount val="11"/>
                <c:pt idx="0">
                  <c:v>0</c:v>
                </c:pt>
                <c:pt idx="1">
                  <c:v>5.1528606097352027E-2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-0.33722070195774134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D-4F4D-861B-CFC40DD33F57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C5BD-4F4D-861B-CFC40DD33F57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C5BD-4F4D-861B-CFC40DD33F57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C5BD-4F4D-861B-CFC40DD3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83000"/>
        <c:axId val="399537576"/>
      </c:radarChart>
      <c:catAx>
        <c:axId val="473383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99537576"/>
        <c:crosses val="autoZero"/>
        <c:auto val="1"/>
        <c:lblAlgn val="ctr"/>
        <c:lblOffset val="100"/>
        <c:noMultiLvlLbl val="0"/>
      </c:catAx>
      <c:valAx>
        <c:axId val="39953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383000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1099186</xdr:colOff>
      <xdr:row>17</xdr:row>
      <xdr:rowOff>83820</xdr:rowOff>
    </xdr:from>
    <xdr:to>
      <xdr:col>11</xdr:col>
      <xdr:colOff>525781</xdr:colOff>
      <xdr:row>49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AFC922-54B1-2CAD-31D8-60306638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1099186</xdr:colOff>
      <xdr:row>17</xdr:row>
      <xdr:rowOff>83820</xdr:rowOff>
    </xdr:from>
    <xdr:to>
      <xdr:col>11</xdr:col>
      <xdr:colOff>342901</xdr:colOff>
      <xdr:row>49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A12A5-D353-F59C-D30C-76CBFC256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816.645467129631" createdVersion="5" refreshedVersion="8" minRefreshableVersion="3" recordCount="224" xr:uid="{AE944055-6EB6-430A-A70B-14AF26DE1F8B}">
  <cacheSource type="worksheet">
    <worksheetSource name="Efeito"/>
  </cacheSource>
  <cacheFields count="36">
    <cacheField name="TipoMercado" numFmtId="0">
      <sharedItems/>
    </cacheField>
    <cacheField name="Subgrupo" numFmtId="0">
      <sharedItems count="5">
        <s v="A4"/>
        <s v="B1"/>
        <s v="B2"/>
        <s v="B3"/>
        <s v="B4"/>
      </sharedItems>
    </cacheField>
    <cacheField name="Modalidade" numFmtId="0">
      <sharedItems count="3">
        <s v="Azul"/>
        <s v="Verde"/>
        <s v="Convencional"/>
      </sharedItems>
    </cacheField>
    <cacheField name="Classe" numFmtId="0">
      <sharedItems count="7">
        <s v="Industrial"/>
        <s v="Residencial"/>
        <s v="Rural"/>
        <s v="Comercial"/>
        <s v="Poder público"/>
        <s v="Serviço público"/>
        <s v="Iluminação pública"/>
      </sharedItems>
    </cacheField>
    <cacheField name="Subclasse" numFmtId="0">
      <sharedItems count="9">
        <s v="Não se aplica"/>
        <s v="Residencial"/>
        <s v="Residencial baixa renda – faixa 01"/>
        <s v="Residencial baixa renda – faixa 02"/>
        <s v="Residencial baixa renda – faixa 03"/>
        <s v="Residencial baixa renda – faixa 04"/>
        <s v="Agropecuária rural"/>
        <s v="Água, esgoto e saneamento"/>
        <s v="Iluminação pública – B4a"/>
      </sharedItems>
    </cacheField>
    <cacheField name="Detalhe" numFmtId="0">
      <sharedItems count="3">
        <s v="Não se aplica"/>
        <s v="IRRIG./AQUIC."/>
        <s v="IRRIG./AQUIC. PR"/>
      </sharedItems>
    </cacheField>
    <cacheField name="Agente" numFmtId="0">
      <sharedItems count="1">
        <s v="Não se aplica"/>
      </sharedItems>
    </cacheField>
    <cacheField name="Posto" numFmtId="0">
      <sharedItems count="3">
        <s v="Fora ponta"/>
        <s v="Ponta"/>
        <s v="Não se aplica"/>
      </sharedItems>
    </cacheField>
    <cacheField name="AnoMes" numFmtId="14">
      <sharedItems containsSemiMixedTypes="0" containsNonDate="0" containsDate="1" containsString="0" minDate="2021-09-01T00:00:00" maxDate="2022-08-02T00:00:00" count="12"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</sharedItems>
    </cacheField>
    <cacheField name="D" numFmtId="40">
      <sharedItems containsSemiMixedTypes="0" containsString="0" containsNumber="1" containsInteger="1" minValue="0" maxValue="3060"/>
    </cacheField>
    <cacheField name="Daj" numFmtId="40">
      <sharedItems containsSemiMixedTypes="0" containsString="0" containsNumber="1" containsInteger="1" minValue="0" maxValue="3060"/>
    </cacheField>
    <cacheField name="TUSD_E" numFmtId="40">
      <sharedItems containsSemiMixedTypes="0" containsString="0" containsNumber="1" minValue="-0.745" maxValue="700.125"/>
    </cacheField>
    <cacheField name="TUSD_Eaj" numFmtId="40">
      <sharedItems containsSemiMixedTypes="0" containsString="0" containsNumber="1" minValue="-0.745" maxValue="700.125"/>
    </cacheField>
    <cacheField name="TE_E" numFmtId="40">
      <sharedItems containsSemiMixedTypes="0" containsString="0" containsNumber="1" minValue="-0.745" maxValue="700.125"/>
    </cacheField>
    <cacheField name="TE_Eaj" numFmtId="40">
      <sharedItems containsSemiMixedTypes="0" containsString="0" containsNumber="1" minValue="-0.745" maxValue="700.125"/>
    </cacheField>
    <cacheField name="UC" numFmtId="40">
      <sharedItems containsSemiMixedTypes="0" containsString="0" containsNumber="1" containsInteger="1" minValue="0" maxValue="950"/>
    </cacheField>
    <cacheField name="OPÇÃO" numFmtId="0">
      <sharedItems count="1">
        <s v="CATIVO"/>
      </sharedItems>
    </cacheField>
    <cacheField name="CóD. AUX." numFmtId="0">
      <sharedItems containsSemiMixedTypes="0" containsString="0" containsNumber="1" containsInteger="1" minValue="0" maxValue="0"/>
    </cacheField>
    <cacheField name="CóD. AUX. TUSD R$/kW" numFmtId="40">
      <sharedItems containsSemiMixedTypes="0" containsString="0" containsNumber="1" containsInteger="1" minValue="0" maxValue="21"/>
    </cacheField>
    <cacheField name="CóD. AUX. TUSD R$/MWh" numFmtId="40">
      <sharedItems containsSemiMixedTypes="0" containsString="0" containsNumber="1" containsInteger="1" minValue="0" maxValue="42"/>
    </cacheField>
    <cacheField name="CóD. AUX. TE R$/MWh" numFmtId="40">
      <sharedItems containsSemiMixedTypes="0" containsString="0" containsNumber="1" containsInteger="1" minValue="0" maxValue="83"/>
    </cacheField>
    <cacheField name="TUSD (R$/kW)" numFmtId="40">
      <sharedItems containsSemiMixedTypes="0" containsString="0" containsNumber="1" minValue="0" maxValue="53.48"/>
    </cacheField>
    <cacheField name="TUSD (R$/MWh)" numFmtId="40">
      <sharedItems containsSemiMixedTypes="0" containsString="0" containsNumber="1" minValue="0" maxValue="1369.31"/>
    </cacheField>
    <cacheField name="TE (R$/MWh)" numFmtId="40">
      <sharedItems containsSemiMixedTypes="0" containsString="0" containsNumber="1" minValue="0" maxValue="310.5"/>
    </cacheField>
    <cacheField name="TUSD (R$/kW) NOVA" numFmtId="40">
      <sharedItems containsString="0" containsBlank="1" containsNumber="1" minValue="18.679743326029978" maxValue="52.974157742394901"/>
    </cacheField>
    <cacheField name="TUSD (R$/MWh) NOVA" numFmtId="40">
      <sharedItems containsString="0" containsBlank="1" containsNumber="1" minValue="73.984400317019478" maxValue="1365.7492482224434"/>
    </cacheField>
    <cacheField name="TE (R$/MWh) NOVA" numFmtId="40">
      <sharedItems containsString="0" containsBlank="1" containsNumber="1" minValue="77.627236916846073" maxValue="221.79210547670309"/>
    </cacheField>
    <cacheField name="RA0 ou RV - TUSD (kW)" numFmtId="40">
      <sharedItems containsSemiMixedTypes="0" containsString="0" containsNumber="1" minValue="0" maxValue="57283.199999999997"/>
    </cacheField>
    <cacheField name="RA0 ou RV - TUSD (MWh)" numFmtId="40">
      <sharedItems containsSemiMixedTypes="0" containsString="0" containsNumber="1" minValue="-199.07144999999997" maxValue="141458.83632"/>
    </cacheField>
    <cacheField name="RA0 ou RV - TE (MWh)" numFmtId="40">
      <sharedItems containsSemiMixedTypes="0" containsString="0" containsNumber="1" minValue="-203.56380000000001" maxValue="217388.8125"/>
    </cacheField>
    <cacheField name="RA1 ou RRD - TUSD (kW)" numFmtId="40">
      <sharedItems containsSemiMixedTypes="0" containsString="0" containsNumber="1" minValue="0" maxValue="57160.014577651731"/>
    </cacheField>
    <cacheField name="RA1 ou RRD - TUSD (MWh)" numFmtId="40">
      <sharedItems containsSemiMixedTypes="0" containsString="0" containsNumber="1" minValue="-216.16810504585928" maxValue="153607.60465293631"/>
    </cacheField>
    <cacheField name="RA1 ou RRD - TE (MWh)" numFmtId="40">
      <sharedItems containsSemiMixedTypes="0" containsString="0" containsNumber="1" minValue="-155.32101146533518" maxValue="155282.19784687675"/>
    </cacheField>
    <cacheField name="Variação TUSD" numFmtId="0" formula="IF(('RA0 ou RV - TUSD (MWh)'+'RA0 ou RV - TUSD (kW)') &lt;&gt;0,('RA1 ou RRD - TUSD (MWh)'+'RA1 ou RRD - TUSD (kW)') /('RA0 ou RV - TUSD (MWh)'+'RA0 ou RV - TUSD (kW)') -1,0)" databaseField="0"/>
    <cacheField name="Variação TE" numFmtId="0" formula="IF('RA0 ou RV - TE (MWh)'&lt;&gt;0,'RA1 ou RRD - TE (MWh)'/'RA0 ou RV - TE (MWh)'-1,0)" databaseField="0"/>
    <cacheField name="Variação" numFmtId="0" formula="IF(('RA0 ou RV - TUSD (MWh)'+'RA0 ou RV - TUSD (kW)'+'RA0 ou RV - TE (MWh)') &lt;&gt;0,('RA1 ou RRD - TUSD (MWh)'+'RA1 ou RRD - TUSD (kW)'+'RA1 ou RRD - TE (MWh)') /('RA0 ou RV - TUSD (MWh)'+'RA0 ou RV - TUSD (kW)'+'RA0 ou RV - TE (MWh)') -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816.645511689814" createdVersion="5" refreshedVersion="8" minRefreshableVersion="3" recordCount="99" xr:uid="{846BA7AC-CA8B-43DC-BD03-615289112B96}">
  <cacheSource type="worksheet">
    <worksheetSource name="Subsidio"/>
  </cacheSource>
  <cacheFields count="34">
    <cacheField name="TipoMercado" numFmtId="0">
      <sharedItems/>
    </cacheField>
    <cacheField name="Subgrupo" numFmtId="0">
      <sharedItems count="3">
        <s v="B1"/>
        <s v="B2"/>
        <s v="B3"/>
      </sharedItems>
    </cacheField>
    <cacheField name="Modalidade" numFmtId="0">
      <sharedItems count="1">
        <s v="Convencional"/>
      </sharedItems>
    </cacheField>
    <cacheField name="Classe" numFmtId="0">
      <sharedItems count="3">
        <s v="Residencial"/>
        <s v="Rural"/>
        <s v="Serviço público"/>
      </sharedItems>
    </cacheField>
    <cacheField name="Subclasse" numFmtId="0">
      <sharedItems count="8">
        <s v="Residencial"/>
        <s v="Residencial baixa renda – faixa 01"/>
        <s v="Residencial baixa renda – faixa 02"/>
        <s v="Residencial baixa renda – faixa 03"/>
        <s v="Residencial baixa renda – faixa 04"/>
        <s v="Agropecuária rural"/>
        <s v="Não se aplica"/>
        <s v="Água, esgoto e saneamento"/>
      </sharedItems>
    </cacheField>
    <cacheField name="Detalhe" numFmtId="0">
      <sharedItems count="3">
        <s v="Não se aplica"/>
        <s v="IRRIG./AQUIC."/>
        <s v="IRRIG./AQUIC. PR"/>
      </sharedItems>
    </cacheField>
    <cacheField name="Agente" numFmtId="0">
      <sharedItems count="1">
        <s v="Não se aplica"/>
      </sharedItems>
    </cacheField>
    <cacheField name="Posto" numFmtId="0">
      <sharedItems count="1">
        <s v="Não se aplica"/>
      </sharedItems>
    </cacheField>
    <cacheField name="AnoMes" numFmtId="14">
      <sharedItems containsSemiMixedTypes="0" containsNonDate="0" containsDate="1" containsString="0" minDate="2021-09-01T00:00:00" maxDate="2022-08-02T00:00:00" count="12"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</sharedItems>
    </cacheField>
    <cacheField name="D" numFmtId="40">
      <sharedItems containsSemiMixedTypes="0" containsString="0" containsNumber="1" containsInteger="1" minValue="0" maxValue="0"/>
    </cacheField>
    <cacheField name="Daj" numFmtId="40">
      <sharedItems containsSemiMixedTypes="0" containsString="0" containsNumber="1" containsInteger="1" minValue="0" maxValue="0"/>
    </cacheField>
    <cacheField name="TUSD_E" numFmtId="40">
      <sharedItems containsSemiMixedTypes="0" containsString="0" containsNumber="1" minValue="-0.745" maxValue="529.39200000000005"/>
    </cacheField>
    <cacheField name="TUSD_Eaj" numFmtId="40">
      <sharedItems containsSemiMixedTypes="0" containsString="0" containsNumber="1" minValue="-0.745" maxValue="529.39200000000005"/>
    </cacheField>
    <cacheField name="TE_E" numFmtId="40">
      <sharedItems containsSemiMixedTypes="0" containsString="0" containsNumber="1" minValue="-0.745" maxValue="529.39200000000005"/>
    </cacheField>
    <cacheField name="TE_Eaj" numFmtId="40">
      <sharedItems containsSemiMixedTypes="0" containsString="0" containsNumber="1" minValue="-0.745" maxValue="529.39200000000005"/>
    </cacheField>
    <cacheField name="UC" numFmtId="40">
      <sharedItems containsSemiMixedTypes="0" containsString="0" containsNumber="1" containsInteger="1" minValue="0" maxValue="950"/>
    </cacheField>
    <cacheField name="OPÇÃO" numFmtId="0">
      <sharedItems/>
    </cacheField>
    <cacheField name="CóD. AUX." numFmtId="0">
      <sharedItems containsSemiMixedTypes="0" containsString="0" containsNumber="1" containsInteger="1" minValue="0" maxValue="0"/>
    </cacheField>
    <cacheField name="CóD. AUX. TUSD R$/kW" numFmtId="0">
      <sharedItems containsSemiMixedTypes="0" containsString="0" containsNumber="1" containsInteger="1" minValue="0" maxValue="0"/>
    </cacheField>
    <cacheField name="CóD. AUX. TUSD R$/MWh" numFmtId="0">
      <sharedItems containsSemiMixedTypes="0" containsString="0" containsNumber="1" containsInteger="1" minValue="10" maxValue="42"/>
    </cacheField>
    <cacheField name="CóD. AUX. TE R$/MWh" numFmtId="0">
      <sharedItems containsSemiMixedTypes="0" containsString="0" containsNumber="1" containsInteger="1" minValue="37" maxValue="64"/>
    </cacheField>
    <cacheField name="TUSD (R$/kW)" numFmtId="40">
      <sharedItems containsSemiMixedTypes="0" containsString="0" containsNumber="1" containsInteger="1" minValue="0" maxValue="0"/>
    </cacheField>
    <cacheField name="TUSD (R$/MWh)" numFmtId="40">
      <sharedItems containsSemiMixedTypes="0" containsString="0" containsNumber="1" minValue="77.760000000000005" maxValue="303.64999999999998"/>
    </cacheField>
    <cacheField name="TE (R$/MWh)" numFmtId="40">
      <sharedItems containsSemiMixedTypes="0" containsString="0" containsNumber="1" minValue="108.67" maxValue="310.5"/>
    </cacheField>
    <cacheField name="TUSD (R$/kW) NOVA" numFmtId="40">
      <sharedItems containsNonDate="0" containsString="0" containsBlank="1"/>
    </cacheField>
    <cacheField name="TUSD (R$/MWh) NOVA" numFmtId="40">
      <sharedItems containsSemiMixedTypes="0" containsString="0" containsNumber="1" minValue="73.984400317019478" maxValue="308.67928751372165"/>
    </cacheField>
    <cacheField name="TE (R$/MWh) NOVA" numFmtId="40">
      <sharedItems containsSemiMixedTypes="0" containsString="0" containsNumber="1" minValue="77.627236916846073" maxValue="221.79210547670309"/>
    </cacheField>
    <cacheField name="SUBSIDIO kW - TV" numFmtId="40">
      <sharedItems containsSemiMixedTypes="0" containsString="0" containsNumber="1" containsInteger="1" minValue="0" maxValue="0"/>
    </cacheField>
    <cacheField name="SUBSIDIO MWh - TV" numFmtId="40">
      <sharedItems containsSemiMixedTypes="0" containsString="0" containsNumber="1" minValue="-54.906499999999994" maxValue="39016.190399999999"/>
    </cacheField>
    <cacheField name="SUBSIDIO kW - TN" numFmtId="40">
      <sharedItems containsSemiMixedTypes="0" containsString="0" containsNumber="1" containsInteger="1" minValue="0" maxValue="0"/>
    </cacheField>
    <cacheField name="SUBSIDIO MWh - TN" numFmtId="40">
      <sharedItems containsSemiMixedTypes="0" containsString="0" containsNumber="1" minValue="-23.712071266672009" maxValue="16849.638700679236"/>
    </cacheField>
    <cacheField name="TIPO" numFmtId="0">
      <sharedItems containsBlank="1" count="5">
        <m/>
        <s v="SUBSIDIO BAIXA RENDA"/>
        <s v="SUBSIDIO RURAL"/>
        <s v="SUBSIDIO IRRIGANTE/AQUICULTOR"/>
        <s v="SUBSIDIO ÁGUA, ESGOTO E SANEAMENTO"/>
      </sharedItems>
    </cacheField>
    <cacheField name="TOTAL TV" numFmtId="0" formula="'SUBSIDIO kW - TV'+'SUBSIDIO MWh - TV'" databaseField="0"/>
    <cacheField name="TOTAL TN" numFmtId="0" formula="'SUBSIDIO kW - TN'+'SUBSIDIO MWh - T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s v="Regular"/>
    <x v="0"/>
    <x v="0"/>
    <x v="0"/>
    <x v="0"/>
    <x v="0"/>
    <x v="0"/>
    <x v="0"/>
    <x v="0"/>
    <n v="609"/>
    <n v="609"/>
    <n v="206.20699999999999"/>
    <n v="206.20699999999999"/>
    <n v="206.20699999999999"/>
    <n v="206.20699999999999"/>
    <n v="0"/>
    <x v="0"/>
    <n v="0"/>
    <n v="5"/>
    <n v="35"/>
    <n v="44"/>
    <n v="18.72"/>
    <n v="82.94"/>
    <n v="310.5"/>
    <n v="18.679743326029978"/>
    <n v="91.420745443866551"/>
    <n v="221.79210547670309"/>
    <n v="11400.48"/>
    <n v="17102.808580000001"/>
    <n v="64027.273499999996"/>
    <n v="11375.963685552257"/>
    <n v="18851.59765574339"/>
    <n v="45735.084694034515"/>
  </r>
  <r>
    <s v="Regular"/>
    <x v="0"/>
    <x v="0"/>
    <x v="0"/>
    <x v="0"/>
    <x v="0"/>
    <x v="0"/>
    <x v="0"/>
    <x v="1"/>
    <n v="627"/>
    <n v="627"/>
    <n v="200.47399999999999"/>
    <n v="200.47399999999999"/>
    <n v="200.47399999999999"/>
    <n v="200.47399999999999"/>
    <n v="0"/>
    <x v="0"/>
    <n v="0"/>
    <n v="5"/>
    <n v="35"/>
    <n v="44"/>
    <n v="18.72"/>
    <n v="82.94"/>
    <n v="310.5"/>
    <n v="18.679743326029978"/>
    <n v="91.420745443866551"/>
    <n v="221.79210547670309"/>
    <n v="11737.439999999999"/>
    <n v="16627.313559999999"/>
    <n v="62247.176999999996"/>
    <n v="11712.199065420797"/>
    <n v="18327.482522113703"/>
    <n v="44463.550553336572"/>
  </r>
  <r>
    <s v="Regular"/>
    <x v="0"/>
    <x v="0"/>
    <x v="0"/>
    <x v="0"/>
    <x v="0"/>
    <x v="0"/>
    <x v="0"/>
    <x v="2"/>
    <n v="611"/>
    <n v="611"/>
    <n v="204.06399999999999"/>
    <n v="204.06399999999999"/>
    <n v="204.06399999999999"/>
    <n v="204.06399999999999"/>
    <n v="0"/>
    <x v="0"/>
    <n v="0"/>
    <n v="5"/>
    <n v="35"/>
    <n v="44"/>
    <n v="18.72"/>
    <n v="82.94"/>
    <n v="310.5"/>
    <n v="18.679743326029978"/>
    <n v="91.420745443866551"/>
    <n v="221.79210547670309"/>
    <n v="11437.92"/>
    <n v="16925.068159999999"/>
    <n v="63361.871999999996"/>
    <n v="11413.323172204317"/>
    <n v="18655.682998257183"/>
    <n v="45259.78421199794"/>
  </r>
  <r>
    <s v="Regular"/>
    <x v="0"/>
    <x v="0"/>
    <x v="0"/>
    <x v="0"/>
    <x v="0"/>
    <x v="0"/>
    <x v="0"/>
    <x v="3"/>
    <n v="749"/>
    <n v="749"/>
    <n v="229.10900000000001"/>
    <n v="229.10900000000001"/>
    <n v="229.10900000000001"/>
    <n v="229.10900000000001"/>
    <n v="0"/>
    <x v="0"/>
    <n v="0"/>
    <n v="5"/>
    <n v="35"/>
    <n v="44"/>
    <n v="18.72"/>
    <n v="82.94"/>
    <n v="310.5"/>
    <n v="18.679743326029978"/>
    <n v="91.420745443866551"/>
    <n v="221.79210547670309"/>
    <n v="14021.279999999999"/>
    <n v="19002.300459999999"/>
    <n v="71138.344500000007"/>
    <n v="13991.127751196454"/>
    <n v="20945.315567898822"/>
    <n v="50814.567493661969"/>
  </r>
  <r>
    <s v="Regular"/>
    <x v="0"/>
    <x v="0"/>
    <x v="0"/>
    <x v="0"/>
    <x v="0"/>
    <x v="0"/>
    <x v="0"/>
    <x v="4"/>
    <n v="715"/>
    <n v="715"/>
    <n v="235.41499999999999"/>
    <n v="235.41499999999999"/>
    <n v="235.41499999999999"/>
    <n v="235.41499999999999"/>
    <n v="0"/>
    <x v="0"/>
    <n v="0"/>
    <n v="5"/>
    <n v="35"/>
    <n v="44"/>
    <n v="18.72"/>
    <n v="82.94"/>
    <n v="310.5"/>
    <n v="18.679743326029978"/>
    <n v="91.420745443866551"/>
    <n v="221.79210547670309"/>
    <n v="13384.8"/>
    <n v="19525.320099999997"/>
    <n v="73096.357499999998"/>
    <n v="13356.016478111434"/>
    <n v="21521.814788667842"/>
    <n v="52213.188510798056"/>
  </r>
  <r>
    <s v="Regular"/>
    <x v="0"/>
    <x v="0"/>
    <x v="0"/>
    <x v="0"/>
    <x v="0"/>
    <x v="0"/>
    <x v="0"/>
    <x v="5"/>
    <n v="715"/>
    <n v="715"/>
    <n v="181.595"/>
    <n v="181.595"/>
    <n v="181.595"/>
    <n v="181.595"/>
    <n v="0"/>
    <x v="0"/>
    <n v="0"/>
    <n v="5"/>
    <n v="35"/>
    <n v="44"/>
    <n v="18.72"/>
    <n v="82.94"/>
    <n v="310.5"/>
    <n v="18.679743326029978"/>
    <n v="91.420745443866551"/>
    <n v="221.79210547670309"/>
    <n v="13384.8"/>
    <n v="15061.489299999999"/>
    <n v="56385.247499999998"/>
    <n v="13356.016478111434"/>
    <n v="16601.550268878946"/>
    <n v="40276.337394041897"/>
  </r>
  <r>
    <s v="Regular"/>
    <x v="0"/>
    <x v="0"/>
    <x v="0"/>
    <x v="0"/>
    <x v="0"/>
    <x v="0"/>
    <x v="0"/>
    <x v="6"/>
    <n v="727"/>
    <n v="727"/>
    <n v="251.02199999999999"/>
    <n v="251.02199999999999"/>
    <n v="251.02199999999999"/>
    <n v="251.02199999999999"/>
    <n v="0"/>
    <x v="0"/>
    <n v="0"/>
    <n v="5"/>
    <n v="35"/>
    <n v="44"/>
    <n v="18.72"/>
    <n v="82.94"/>
    <n v="310.5"/>
    <n v="18.679743326029978"/>
    <n v="91.420745443866551"/>
    <n v="221.79210547670309"/>
    <n v="13609.439999999999"/>
    <n v="20819.76468"/>
    <n v="77942.330999999991"/>
    <n v="13580.173398023795"/>
    <n v="22948.61836281027"/>
    <n v="55674.697900972962"/>
  </r>
  <r>
    <s v="Regular"/>
    <x v="0"/>
    <x v="0"/>
    <x v="0"/>
    <x v="0"/>
    <x v="0"/>
    <x v="0"/>
    <x v="0"/>
    <x v="7"/>
    <n v="715"/>
    <n v="715"/>
    <n v="230.482"/>
    <n v="230.482"/>
    <n v="230.482"/>
    <n v="230.482"/>
    <n v="0"/>
    <x v="0"/>
    <n v="0"/>
    <n v="5"/>
    <n v="35"/>
    <n v="44"/>
    <n v="18.72"/>
    <n v="82.94"/>
    <n v="310.5"/>
    <n v="18.679743326029978"/>
    <n v="91.420745443866551"/>
    <n v="221.79210547670309"/>
    <n v="13384.8"/>
    <n v="19116.177079999998"/>
    <n v="71564.660999999993"/>
    <n v="13356.016478111434"/>
    <n v="21070.836251393252"/>
    <n v="51119.088054481479"/>
  </r>
  <r>
    <s v="Regular"/>
    <x v="0"/>
    <x v="0"/>
    <x v="0"/>
    <x v="0"/>
    <x v="0"/>
    <x v="0"/>
    <x v="0"/>
    <x v="8"/>
    <n v="715"/>
    <n v="715"/>
    <n v="240.447"/>
    <n v="240.447"/>
    <n v="240.447"/>
    <n v="240.447"/>
    <n v="0"/>
    <x v="0"/>
    <n v="0"/>
    <n v="5"/>
    <n v="35"/>
    <n v="44"/>
    <n v="18.72"/>
    <n v="82.94"/>
    <n v="310.5"/>
    <n v="18.679743326029978"/>
    <n v="91.420745443866551"/>
    <n v="221.79210547670309"/>
    <n v="13384.8"/>
    <n v="19942.674179999998"/>
    <n v="74658.7935"/>
    <n v="13356.016478111434"/>
    <n v="21981.843979741381"/>
    <n v="53329.246385556828"/>
  </r>
  <r>
    <s v="Regular"/>
    <x v="0"/>
    <x v="0"/>
    <x v="0"/>
    <x v="0"/>
    <x v="0"/>
    <x v="0"/>
    <x v="0"/>
    <x v="9"/>
    <n v="715"/>
    <n v="715"/>
    <n v="224.15799999999999"/>
    <n v="224.15799999999999"/>
    <n v="224.15799999999999"/>
    <n v="224.15799999999999"/>
    <n v="0"/>
    <x v="0"/>
    <n v="0"/>
    <n v="5"/>
    <n v="35"/>
    <n v="44"/>
    <n v="18.72"/>
    <n v="82.94"/>
    <n v="310.5"/>
    <n v="18.679743326029978"/>
    <n v="91.420745443866551"/>
    <n v="221.79210547670309"/>
    <n v="13384.8"/>
    <n v="18591.664519999998"/>
    <n v="69601.058999999994"/>
    <n v="13356.016478111434"/>
    <n v="20492.691457206238"/>
    <n v="49716.474779446806"/>
  </r>
  <r>
    <s v="Regular"/>
    <x v="0"/>
    <x v="0"/>
    <x v="0"/>
    <x v="0"/>
    <x v="0"/>
    <x v="0"/>
    <x v="0"/>
    <x v="10"/>
    <n v="715"/>
    <n v="715"/>
    <n v="219.958"/>
    <n v="219.958"/>
    <n v="219.958"/>
    <n v="219.958"/>
    <n v="0"/>
    <x v="0"/>
    <n v="0"/>
    <n v="5"/>
    <n v="35"/>
    <n v="44"/>
    <n v="18.72"/>
    <n v="82.94"/>
    <n v="310.5"/>
    <n v="18.679743326029978"/>
    <n v="91.420745443866551"/>
    <n v="221.79210547670309"/>
    <n v="13384.8"/>
    <n v="18243.31652"/>
    <n v="68296.959000000003"/>
    <n v="13356.016478111434"/>
    <n v="20108.724326341999"/>
    <n v="48784.94793644466"/>
  </r>
  <r>
    <s v="Regular"/>
    <x v="0"/>
    <x v="0"/>
    <x v="0"/>
    <x v="0"/>
    <x v="0"/>
    <x v="0"/>
    <x v="0"/>
    <x v="11"/>
    <n v="715"/>
    <n v="715"/>
    <n v="214.732"/>
    <n v="214.732"/>
    <n v="214.732"/>
    <n v="214.732"/>
    <n v="0"/>
    <x v="0"/>
    <n v="0"/>
    <n v="5"/>
    <n v="35"/>
    <n v="44"/>
    <n v="18.72"/>
    <n v="82.94"/>
    <n v="310.5"/>
    <n v="18.679743326029978"/>
    <n v="91.420745443866551"/>
    <n v="221.79210547670309"/>
    <n v="13384.8"/>
    <n v="17809.872080000001"/>
    <n v="66674.285999999993"/>
    <n v="13356.016478111434"/>
    <n v="19630.959510652352"/>
    <n v="47625.862393223404"/>
  </r>
  <r>
    <s v="Regular"/>
    <x v="0"/>
    <x v="0"/>
    <x v="0"/>
    <x v="0"/>
    <x v="0"/>
    <x v="0"/>
    <x v="1"/>
    <x v="0"/>
    <n v="580"/>
    <n v="580"/>
    <n v="23.847000000000001"/>
    <n v="23.847000000000001"/>
    <n v="23.847000000000001"/>
    <n v="23.847000000000001"/>
    <n v="0"/>
    <x v="0"/>
    <n v="0"/>
    <n v="1"/>
    <n v="35"/>
    <n v="41"/>
    <n v="53.48"/>
    <n v="82.94"/>
    <n v="310.5"/>
    <n v="52.974157742394901"/>
    <n v="91.420745443866551"/>
    <n v="221.79210547670309"/>
    <n v="31018.399999999998"/>
    <n v="1977.8701800000001"/>
    <n v="7404.4935000000005"/>
    <n v="30725.011490589044"/>
    <n v="2180.1105165998856"/>
    <n v="5289.0763393029383"/>
  </r>
  <r>
    <s v="Regular"/>
    <x v="0"/>
    <x v="0"/>
    <x v="0"/>
    <x v="0"/>
    <x v="0"/>
    <x v="0"/>
    <x v="1"/>
    <x v="1"/>
    <n v="580"/>
    <n v="580"/>
    <n v="23.850999999999999"/>
    <n v="23.850999999999999"/>
    <n v="23.850999999999999"/>
    <n v="23.850999999999999"/>
    <n v="0"/>
    <x v="0"/>
    <n v="0"/>
    <n v="1"/>
    <n v="35"/>
    <n v="41"/>
    <n v="53.48"/>
    <n v="82.94"/>
    <n v="310.5"/>
    <n v="52.974157742394901"/>
    <n v="91.420745443866551"/>
    <n v="221.79210547670309"/>
    <n v="31018.399999999998"/>
    <n v="1978.2019399999999"/>
    <n v="7405.7354999999998"/>
    <n v="30725.011490589044"/>
    <n v="2180.4761995816611"/>
    <n v="5289.9635077248449"/>
  </r>
  <r>
    <s v="Regular"/>
    <x v="0"/>
    <x v="0"/>
    <x v="0"/>
    <x v="0"/>
    <x v="0"/>
    <x v="0"/>
    <x v="1"/>
    <x v="2"/>
    <n v="605"/>
    <n v="605"/>
    <n v="25.48"/>
    <n v="25.48"/>
    <n v="25.48"/>
    <n v="25.48"/>
    <n v="0"/>
    <x v="0"/>
    <n v="0"/>
    <n v="1"/>
    <n v="35"/>
    <n v="41"/>
    <n v="53.48"/>
    <n v="82.94"/>
    <n v="310.5"/>
    <n v="52.974157742394901"/>
    <n v="91.420745443866551"/>
    <n v="221.79210547670309"/>
    <n v="32355.399999999998"/>
    <n v="2113.3112000000001"/>
    <n v="7911.54"/>
    <n v="32049.365434148916"/>
    <n v="2329.4005939097196"/>
    <n v="5651.2628475463944"/>
  </r>
  <r>
    <s v="Regular"/>
    <x v="0"/>
    <x v="0"/>
    <x v="0"/>
    <x v="0"/>
    <x v="0"/>
    <x v="0"/>
    <x v="1"/>
    <x v="3"/>
    <n v="744"/>
    <n v="744"/>
    <n v="33.853999999999999"/>
    <n v="33.853999999999999"/>
    <n v="33.853999999999999"/>
    <n v="33.853999999999999"/>
    <n v="0"/>
    <x v="0"/>
    <n v="0"/>
    <n v="1"/>
    <n v="35"/>
    <n v="41"/>
    <n v="53.48"/>
    <n v="82.94"/>
    <n v="310.5"/>
    <n v="52.974157742394901"/>
    <n v="91.420745443866551"/>
    <n v="221.79210547670309"/>
    <n v="39789.119999999995"/>
    <n v="2807.8507599999998"/>
    <n v="10511.666999999999"/>
    <n v="39412.773360341809"/>
    <n v="3094.9579162566583"/>
    <n v="7508.5499388083063"/>
  </r>
  <r>
    <s v="Regular"/>
    <x v="0"/>
    <x v="0"/>
    <x v="0"/>
    <x v="0"/>
    <x v="0"/>
    <x v="0"/>
    <x v="1"/>
    <x v="4"/>
    <n v="715"/>
    <n v="715"/>
    <n v="33.731000000000002"/>
    <n v="33.731000000000002"/>
    <n v="33.731000000000002"/>
    <n v="33.731000000000002"/>
    <n v="0"/>
    <x v="0"/>
    <n v="0"/>
    <n v="1"/>
    <n v="35"/>
    <n v="41"/>
    <n v="53.48"/>
    <n v="82.94"/>
    <n v="310.5"/>
    <n v="52.974157742394901"/>
    <n v="91.420745443866551"/>
    <n v="221.79210547670309"/>
    <n v="38238.199999999997"/>
    <n v="2797.64914"/>
    <n v="10473.4755"/>
    <n v="37876.522785812354"/>
    <n v="3083.7131645670629"/>
    <n v="7481.2695098346721"/>
  </r>
  <r>
    <s v="Regular"/>
    <x v="0"/>
    <x v="0"/>
    <x v="0"/>
    <x v="0"/>
    <x v="0"/>
    <x v="0"/>
    <x v="1"/>
    <x v="5"/>
    <n v="715"/>
    <n v="715"/>
    <n v="24.837"/>
    <n v="24.837"/>
    <n v="24.837"/>
    <n v="24.837"/>
    <n v="0"/>
    <x v="0"/>
    <n v="0"/>
    <n v="1"/>
    <n v="35"/>
    <n v="41"/>
    <n v="53.48"/>
    <n v="82.94"/>
    <n v="310.5"/>
    <n v="52.974157742394901"/>
    <n v="91.420745443866551"/>
    <n v="221.79210547670309"/>
    <n v="38238.199999999997"/>
    <n v="2059.9807799999999"/>
    <n v="7711.8885"/>
    <n v="37876.522785812354"/>
    <n v="2270.6170545893133"/>
    <n v="5508.6505237248748"/>
  </r>
  <r>
    <s v="Regular"/>
    <x v="0"/>
    <x v="0"/>
    <x v="0"/>
    <x v="0"/>
    <x v="0"/>
    <x v="0"/>
    <x v="1"/>
    <x v="6"/>
    <n v="715"/>
    <n v="715"/>
    <n v="34.512"/>
    <n v="34.512"/>
    <n v="34.512"/>
    <n v="34.512"/>
    <n v="0"/>
    <x v="0"/>
    <n v="0"/>
    <n v="1"/>
    <n v="35"/>
    <n v="41"/>
    <n v="53.48"/>
    <n v="82.94"/>
    <n v="310.5"/>
    <n v="52.974157742394901"/>
    <n v="91.420745443866551"/>
    <n v="221.79210547670309"/>
    <n v="38238.199999999997"/>
    <n v="2862.4252799999999"/>
    <n v="10715.976000000001"/>
    <n v="37876.522785812354"/>
    <n v="3155.1127667587225"/>
    <n v="7654.489144211977"/>
  </r>
  <r>
    <s v="Regular"/>
    <x v="0"/>
    <x v="0"/>
    <x v="0"/>
    <x v="0"/>
    <x v="0"/>
    <x v="0"/>
    <x v="1"/>
    <x v="7"/>
    <n v="715"/>
    <n v="715"/>
    <n v="29.952000000000002"/>
    <n v="29.952000000000002"/>
    <n v="29.952000000000002"/>
    <n v="29.952000000000002"/>
    <n v="0"/>
    <x v="0"/>
    <n v="0"/>
    <n v="1"/>
    <n v="35"/>
    <n v="41"/>
    <n v="53.48"/>
    <n v="82.94"/>
    <n v="310.5"/>
    <n v="52.974157742394901"/>
    <n v="91.420745443866551"/>
    <n v="221.79210547670309"/>
    <n v="38238.199999999997"/>
    <n v="2484.2188799999999"/>
    <n v="9300.0960000000014"/>
    <n v="37876.522785812354"/>
    <n v="2738.2341675346911"/>
    <n v="6643.1171432382116"/>
  </r>
  <r>
    <s v="Regular"/>
    <x v="0"/>
    <x v="0"/>
    <x v="0"/>
    <x v="0"/>
    <x v="0"/>
    <x v="0"/>
    <x v="1"/>
    <x v="8"/>
    <n v="715"/>
    <n v="715"/>
    <n v="34.067999999999998"/>
    <n v="34.067999999999998"/>
    <n v="34.067999999999998"/>
    <n v="34.067999999999998"/>
    <n v="0"/>
    <x v="0"/>
    <n v="0"/>
    <n v="1"/>
    <n v="35"/>
    <n v="41"/>
    <n v="53.48"/>
    <n v="82.94"/>
    <n v="310.5"/>
    <n v="52.974157742394901"/>
    <n v="91.420745443866551"/>
    <n v="221.79210547670309"/>
    <n v="38238.199999999997"/>
    <n v="2825.5999199999997"/>
    <n v="10578.114"/>
    <n v="37876.522785812354"/>
    <n v="3114.5219557816454"/>
    <n v="7556.0134493803198"/>
  </r>
  <r>
    <s v="Regular"/>
    <x v="0"/>
    <x v="0"/>
    <x v="0"/>
    <x v="0"/>
    <x v="0"/>
    <x v="0"/>
    <x v="1"/>
    <x v="9"/>
    <n v="715"/>
    <n v="715"/>
    <n v="29.943999999999999"/>
    <n v="29.943999999999999"/>
    <n v="29.943999999999999"/>
    <n v="29.943999999999999"/>
    <n v="0"/>
    <x v="0"/>
    <n v="0"/>
    <n v="1"/>
    <n v="35"/>
    <n v="41"/>
    <n v="53.48"/>
    <n v="82.94"/>
    <n v="310.5"/>
    <n v="52.974157742394901"/>
    <n v="91.420745443866551"/>
    <n v="221.79210547670309"/>
    <n v="38238.199999999997"/>
    <n v="2483.5553599999998"/>
    <n v="9297.6119999999992"/>
    <n v="37876.522785812354"/>
    <n v="2737.50280157114"/>
    <n v="6641.3428063943966"/>
  </r>
  <r>
    <s v="Regular"/>
    <x v="0"/>
    <x v="0"/>
    <x v="0"/>
    <x v="0"/>
    <x v="0"/>
    <x v="0"/>
    <x v="1"/>
    <x v="10"/>
    <n v="715"/>
    <n v="715"/>
    <n v="30.140999999999998"/>
    <n v="30.140999999999998"/>
    <n v="30.140999999999998"/>
    <n v="30.140999999999998"/>
    <n v="0"/>
    <x v="0"/>
    <n v="0"/>
    <n v="1"/>
    <n v="35"/>
    <n v="41"/>
    <n v="53.48"/>
    <n v="82.94"/>
    <n v="310.5"/>
    <n v="52.974157742394901"/>
    <n v="91.420745443866551"/>
    <n v="221.79210547670309"/>
    <n v="38238.199999999997"/>
    <n v="2499.8945399999998"/>
    <n v="9358.7804999999989"/>
    <n v="37876.522785812354"/>
    <n v="2755.5126884235815"/>
    <n v="6685.0358511733075"/>
  </r>
  <r>
    <s v="Regular"/>
    <x v="0"/>
    <x v="0"/>
    <x v="0"/>
    <x v="0"/>
    <x v="0"/>
    <x v="0"/>
    <x v="1"/>
    <x v="11"/>
    <n v="715"/>
    <n v="715"/>
    <n v="31.896000000000001"/>
    <n v="31.896000000000001"/>
    <n v="31.896000000000001"/>
    <n v="31.896000000000001"/>
    <n v="0"/>
    <x v="0"/>
    <n v="0"/>
    <n v="1"/>
    <n v="35"/>
    <n v="41"/>
    <n v="53.48"/>
    <n v="82.94"/>
    <n v="310.5"/>
    <n v="52.974157742394901"/>
    <n v="91.420745443866551"/>
    <n v="221.79210547670309"/>
    <n v="38238.199999999997"/>
    <n v="2645.45424"/>
    <n v="9903.7080000000005"/>
    <n v="37876.522785812354"/>
    <n v="2915.9560966775675"/>
    <n v="7074.2809962849215"/>
  </r>
  <r>
    <s v="Regular"/>
    <x v="0"/>
    <x v="1"/>
    <x v="0"/>
    <x v="0"/>
    <x v="0"/>
    <x v="0"/>
    <x v="0"/>
    <x v="0"/>
    <n v="0"/>
    <n v="0"/>
    <n v="609.14499999999998"/>
    <n v="609.14499999999998"/>
    <n v="609.14499999999998"/>
    <n v="609.14499999999998"/>
    <n v="0"/>
    <x v="0"/>
    <n v="0"/>
    <n v="0"/>
    <n v="14"/>
    <n v="44"/>
    <n v="0"/>
    <n v="82.94"/>
    <n v="310.5"/>
    <m/>
    <n v="91.420745443866551"/>
    <n v="221.79210547670309"/>
    <n v="0"/>
    <n v="50522.486299999997"/>
    <n v="189139.52249999999"/>
    <n v="0"/>
    <n v="55688.489983404092"/>
    <n v="135103.5520906063"/>
  </r>
  <r>
    <s v="Regular"/>
    <x v="0"/>
    <x v="1"/>
    <x v="0"/>
    <x v="0"/>
    <x v="0"/>
    <x v="0"/>
    <x v="0"/>
    <x v="1"/>
    <n v="0"/>
    <n v="0"/>
    <n v="625.97199999999998"/>
    <n v="625.97199999999998"/>
    <n v="625.97199999999998"/>
    <n v="625.97199999999998"/>
    <n v="0"/>
    <x v="0"/>
    <n v="0"/>
    <n v="0"/>
    <n v="14"/>
    <n v="44"/>
    <n v="0"/>
    <n v="82.94"/>
    <n v="310.5"/>
    <m/>
    <n v="91.420745443866551"/>
    <n v="221.79210547670309"/>
    <n v="0"/>
    <n v="51918.117679999996"/>
    <n v="194364.30599999998"/>
    <n v="0"/>
    <n v="57226.826866988027"/>
    <n v="138835.64784946278"/>
  </r>
  <r>
    <s v="Regular"/>
    <x v="0"/>
    <x v="1"/>
    <x v="0"/>
    <x v="0"/>
    <x v="0"/>
    <x v="0"/>
    <x v="0"/>
    <x v="2"/>
    <n v="0"/>
    <n v="0"/>
    <n v="651.49599999999998"/>
    <n v="651.49599999999998"/>
    <n v="651.49599999999998"/>
    <n v="651.49599999999998"/>
    <n v="0"/>
    <x v="0"/>
    <n v="0"/>
    <n v="0"/>
    <n v="14"/>
    <n v="44"/>
    <n v="0"/>
    <n v="82.94"/>
    <n v="310.5"/>
    <m/>
    <n v="91.420745443866551"/>
    <n v="221.79210547670309"/>
    <n v="0"/>
    <n v="54035.078239999995"/>
    <n v="202289.508"/>
    <n v="0"/>
    <n v="59560.249973697282"/>
    <n v="144496.66954965016"/>
  </r>
  <r>
    <s v="Regular"/>
    <x v="0"/>
    <x v="1"/>
    <x v="0"/>
    <x v="0"/>
    <x v="0"/>
    <x v="0"/>
    <x v="0"/>
    <x v="3"/>
    <n v="0"/>
    <n v="0"/>
    <n v="619.91499999999996"/>
    <n v="619.91499999999996"/>
    <n v="619.91499999999996"/>
    <n v="619.91499999999996"/>
    <n v="0"/>
    <x v="0"/>
    <n v="0"/>
    <n v="0"/>
    <n v="14"/>
    <n v="44"/>
    <n v="0"/>
    <n v="82.94"/>
    <n v="310.5"/>
    <m/>
    <n v="91.420745443866551"/>
    <n v="221.79210547670309"/>
    <n v="0"/>
    <n v="51415.750099999997"/>
    <n v="192483.60749999998"/>
    <n v="0"/>
    <n v="56673.091411834532"/>
    <n v="137492.25306659038"/>
  </r>
  <r>
    <s v="Regular"/>
    <x v="0"/>
    <x v="1"/>
    <x v="0"/>
    <x v="0"/>
    <x v="0"/>
    <x v="0"/>
    <x v="0"/>
    <x v="4"/>
    <n v="0"/>
    <n v="0"/>
    <n v="635.73900000000003"/>
    <n v="635.73900000000003"/>
    <n v="635.73900000000003"/>
    <n v="635.73900000000003"/>
    <n v="0"/>
    <x v="0"/>
    <n v="0"/>
    <n v="0"/>
    <n v="14"/>
    <n v="44"/>
    <n v="0"/>
    <n v="82.94"/>
    <n v="310.5"/>
    <m/>
    <n v="91.420745443866551"/>
    <n v="221.79210547670309"/>
    <n v="0"/>
    <n v="52728.192660000001"/>
    <n v="197396.9595"/>
    <n v="0"/>
    <n v="58119.73328773828"/>
    <n v="141001.89134365376"/>
  </r>
  <r>
    <s v="Regular"/>
    <x v="0"/>
    <x v="1"/>
    <x v="0"/>
    <x v="0"/>
    <x v="0"/>
    <x v="0"/>
    <x v="0"/>
    <x v="5"/>
    <n v="0"/>
    <n v="0"/>
    <n v="546.24300000000005"/>
    <n v="546.24300000000005"/>
    <n v="546.24300000000005"/>
    <n v="546.24300000000005"/>
    <n v="0"/>
    <x v="0"/>
    <n v="0"/>
    <n v="0"/>
    <n v="14"/>
    <n v="44"/>
    <n v="0"/>
    <n v="82.94"/>
    <n v="310.5"/>
    <m/>
    <n v="91.420745443866551"/>
    <n v="221.79210547670309"/>
    <n v="0"/>
    <n v="45305.394420000004"/>
    <n v="169608.45150000002"/>
    <n v="0"/>
    <n v="49937.942253494002"/>
    <n v="121152.38507191073"/>
  </r>
  <r>
    <s v="Regular"/>
    <x v="0"/>
    <x v="1"/>
    <x v="0"/>
    <x v="0"/>
    <x v="0"/>
    <x v="0"/>
    <x v="0"/>
    <x v="6"/>
    <n v="0"/>
    <n v="0"/>
    <n v="658.04"/>
    <n v="658.04"/>
    <n v="658.04"/>
    <n v="658.04"/>
    <n v="0"/>
    <x v="0"/>
    <n v="0"/>
    <n v="0"/>
    <n v="14"/>
    <n v="44"/>
    <n v="0"/>
    <n v="82.94"/>
    <n v="310.5"/>
    <m/>
    <n v="91.420745443866551"/>
    <n v="221.79210547670309"/>
    <n v="0"/>
    <n v="54577.837599999999"/>
    <n v="204321.41999999998"/>
    <n v="0"/>
    <n v="60158.507331881941"/>
    <n v="145948.07708788969"/>
  </r>
  <r>
    <s v="Regular"/>
    <x v="0"/>
    <x v="1"/>
    <x v="0"/>
    <x v="0"/>
    <x v="0"/>
    <x v="0"/>
    <x v="0"/>
    <x v="7"/>
    <n v="0"/>
    <n v="0"/>
    <n v="640.12900000000002"/>
    <n v="640.12900000000002"/>
    <n v="640.12900000000002"/>
    <n v="640.12900000000002"/>
    <n v="0"/>
    <x v="0"/>
    <n v="0"/>
    <n v="0"/>
    <n v="14"/>
    <n v="44"/>
    <n v="0"/>
    <n v="82.94"/>
    <n v="310.5"/>
    <m/>
    <n v="91.420745443866551"/>
    <n v="221.79210547670309"/>
    <n v="0"/>
    <n v="53092.29926"/>
    <n v="198760.0545"/>
    <n v="0"/>
    <n v="58521.070360236852"/>
    <n v="141975.55868669649"/>
  </r>
  <r>
    <s v="Regular"/>
    <x v="0"/>
    <x v="1"/>
    <x v="0"/>
    <x v="0"/>
    <x v="0"/>
    <x v="0"/>
    <x v="0"/>
    <x v="8"/>
    <n v="0"/>
    <n v="0"/>
    <n v="681.37400000000002"/>
    <n v="681.37400000000002"/>
    <n v="681.37400000000002"/>
    <n v="681.37400000000002"/>
    <n v="0"/>
    <x v="0"/>
    <n v="0"/>
    <n v="0"/>
    <n v="14"/>
    <n v="44"/>
    <n v="0"/>
    <n v="82.94"/>
    <n v="310.5"/>
    <m/>
    <n v="91.420745443866551"/>
    <n v="221.79210547670309"/>
    <n v="0"/>
    <n v="56513.15956"/>
    <n v="211566.62700000001"/>
    <n v="0"/>
    <n v="62291.719006069128"/>
    <n v="151123.37407708311"/>
  </r>
  <r>
    <s v="Regular"/>
    <x v="0"/>
    <x v="1"/>
    <x v="0"/>
    <x v="0"/>
    <x v="0"/>
    <x v="0"/>
    <x v="0"/>
    <x v="9"/>
    <n v="0"/>
    <n v="0"/>
    <n v="645.54300000000001"/>
    <n v="645.54300000000001"/>
    <n v="645.54300000000001"/>
    <n v="645.54300000000001"/>
    <n v="0"/>
    <x v="0"/>
    <n v="0"/>
    <n v="0"/>
    <n v="14"/>
    <n v="44"/>
    <n v="0"/>
    <n v="82.94"/>
    <n v="310.5"/>
    <m/>
    <n v="91.420745443866551"/>
    <n v="221.79210547670309"/>
    <n v="0"/>
    <n v="53541.33642"/>
    <n v="200441.10149999999"/>
    <n v="0"/>
    <n v="59016.022276069947"/>
    <n v="143176.34114574734"/>
  </r>
  <r>
    <s v="Regular"/>
    <x v="0"/>
    <x v="1"/>
    <x v="0"/>
    <x v="0"/>
    <x v="0"/>
    <x v="0"/>
    <x v="0"/>
    <x v="10"/>
    <n v="0"/>
    <n v="0"/>
    <n v="688.66"/>
    <n v="688.66"/>
    <n v="688.66"/>
    <n v="688.66"/>
    <n v="0"/>
    <x v="0"/>
    <n v="0"/>
    <n v="0"/>
    <n v="14"/>
    <n v="44"/>
    <n v="0"/>
    <n v="82.94"/>
    <n v="310.5"/>
    <m/>
    <n v="91.420745443866551"/>
    <n v="221.79210547670309"/>
    <n v="0"/>
    <n v="57117.460399999996"/>
    <n v="213828.93"/>
    <n v="0"/>
    <n v="62957.810557373137"/>
    <n v="152739.35135758633"/>
  </r>
  <r>
    <s v="Regular"/>
    <x v="0"/>
    <x v="1"/>
    <x v="0"/>
    <x v="0"/>
    <x v="0"/>
    <x v="0"/>
    <x v="0"/>
    <x v="11"/>
    <n v="0"/>
    <n v="0"/>
    <n v="700.125"/>
    <n v="700.125"/>
    <n v="700.125"/>
    <n v="700.125"/>
    <n v="0"/>
    <x v="0"/>
    <n v="0"/>
    <n v="0"/>
    <n v="14"/>
    <n v="44"/>
    <n v="0"/>
    <n v="82.94"/>
    <n v="310.5"/>
    <m/>
    <n v="91.420745443866551"/>
    <n v="221.79210547670309"/>
    <n v="0"/>
    <n v="58068.3675"/>
    <n v="217388.8125"/>
    <n v="0"/>
    <n v="64005.949403887069"/>
    <n v="155282.19784687675"/>
  </r>
  <r>
    <s v="Regular"/>
    <x v="0"/>
    <x v="1"/>
    <x v="0"/>
    <x v="0"/>
    <x v="0"/>
    <x v="0"/>
    <x v="2"/>
    <x v="0"/>
    <n v="3060"/>
    <n v="3060"/>
    <n v="0"/>
    <n v="0"/>
    <n v="0"/>
    <n v="0"/>
    <n v="3"/>
    <x v="0"/>
    <n v="0"/>
    <n v="21"/>
    <n v="0"/>
    <n v="0"/>
    <n v="18.72"/>
    <n v="0"/>
    <n v="0"/>
    <n v="18.679743326029978"/>
    <m/>
    <m/>
    <n v="57283.199999999997"/>
    <n v="0"/>
    <n v="0"/>
    <n v="57160.014577651731"/>
    <n v="0"/>
    <n v="0"/>
  </r>
  <r>
    <s v="Regular"/>
    <x v="0"/>
    <x v="1"/>
    <x v="0"/>
    <x v="0"/>
    <x v="0"/>
    <x v="0"/>
    <x v="2"/>
    <x v="1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2"/>
    <x v="2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2"/>
    <x v="3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2"/>
    <x v="4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2"/>
    <x v="5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2"/>
    <x v="6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2"/>
    <x v="7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2"/>
    <x v="8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2"/>
    <x v="9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2"/>
    <x v="10"/>
    <n v="3056"/>
    <n v="3056"/>
    <n v="0"/>
    <n v="0"/>
    <n v="0"/>
    <n v="0"/>
    <n v="3"/>
    <x v="0"/>
    <n v="0"/>
    <n v="21"/>
    <n v="0"/>
    <n v="0"/>
    <n v="18.72"/>
    <n v="0"/>
    <n v="0"/>
    <n v="18.679743326029978"/>
    <m/>
    <m/>
    <n v="57208.32"/>
    <n v="0"/>
    <n v="0"/>
    <n v="57085.295604347615"/>
    <n v="0"/>
    <n v="0"/>
  </r>
  <r>
    <s v="Regular"/>
    <x v="0"/>
    <x v="1"/>
    <x v="0"/>
    <x v="0"/>
    <x v="0"/>
    <x v="0"/>
    <x v="2"/>
    <x v="11"/>
    <n v="3050"/>
    <n v="3050"/>
    <n v="0"/>
    <n v="0"/>
    <n v="0"/>
    <n v="0"/>
    <n v="3"/>
    <x v="0"/>
    <n v="0"/>
    <n v="21"/>
    <n v="0"/>
    <n v="0"/>
    <n v="18.72"/>
    <n v="0"/>
    <n v="0"/>
    <n v="18.679743326029978"/>
    <m/>
    <m/>
    <n v="57096"/>
    <n v="0"/>
    <n v="0"/>
    <n v="56973.217144391434"/>
    <n v="0"/>
    <n v="0"/>
  </r>
  <r>
    <s v="Regular"/>
    <x v="0"/>
    <x v="1"/>
    <x v="0"/>
    <x v="0"/>
    <x v="0"/>
    <x v="0"/>
    <x v="1"/>
    <x v="0"/>
    <n v="0"/>
    <n v="0"/>
    <n v="43.52"/>
    <n v="43.52"/>
    <n v="43.52"/>
    <n v="43.52"/>
    <n v="0"/>
    <x v="0"/>
    <n v="0"/>
    <n v="0"/>
    <n v="25"/>
    <n v="41"/>
    <n v="0"/>
    <n v="1369.31"/>
    <n v="310.5"/>
    <m/>
    <n v="1365.7492482224434"/>
    <n v="221.79210547670309"/>
    <n v="0"/>
    <n v="59592.371200000001"/>
    <n v="13512.960000000001"/>
    <n v="0"/>
    <n v="59437.407282640743"/>
    <n v="9652.392430346119"/>
  </r>
  <r>
    <s v="Regular"/>
    <x v="0"/>
    <x v="1"/>
    <x v="0"/>
    <x v="0"/>
    <x v="0"/>
    <x v="0"/>
    <x v="1"/>
    <x v="1"/>
    <n v="0"/>
    <n v="0"/>
    <n v="42.656999999999996"/>
    <n v="42.656999999999996"/>
    <n v="42.656999999999996"/>
    <n v="42.656999999999996"/>
    <n v="0"/>
    <x v="0"/>
    <n v="0"/>
    <n v="0"/>
    <n v="25"/>
    <n v="41"/>
    <n v="0"/>
    <n v="1369.31"/>
    <n v="310.5"/>
    <m/>
    <n v="1365.7492482224434"/>
    <n v="221.79210547670309"/>
    <n v="0"/>
    <n v="58410.656669999989"/>
    <n v="13244.9985"/>
    <n v="0"/>
    <n v="58258.76568142476"/>
    <n v="9460.9858433197223"/>
  </r>
  <r>
    <s v="Regular"/>
    <x v="0"/>
    <x v="1"/>
    <x v="0"/>
    <x v="0"/>
    <x v="0"/>
    <x v="0"/>
    <x v="1"/>
    <x v="2"/>
    <n v="0"/>
    <n v="0"/>
    <n v="44.64"/>
    <n v="44.64"/>
    <n v="44.64"/>
    <n v="44.64"/>
    <n v="0"/>
    <x v="0"/>
    <n v="0"/>
    <n v="0"/>
    <n v="25"/>
    <n v="41"/>
    <n v="0"/>
    <n v="1369.31"/>
    <n v="310.5"/>
    <m/>
    <n v="1365.7492482224434"/>
    <n v="221.79210547670309"/>
    <n v="0"/>
    <n v="61125.998399999997"/>
    <n v="13860.72"/>
    <n v="0"/>
    <n v="60967.046440649872"/>
    <n v="9900.7995884800257"/>
  </r>
  <r>
    <s v="Regular"/>
    <x v="0"/>
    <x v="1"/>
    <x v="0"/>
    <x v="0"/>
    <x v="0"/>
    <x v="0"/>
    <x v="1"/>
    <x v="3"/>
    <n v="0"/>
    <n v="0"/>
    <n v="47.222999999999999"/>
    <n v="47.222999999999999"/>
    <n v="47.222999999999999"/>
    <n v="47.222999999999999"/>
    <n v="0"/>
    <x v="0"/>
    <n v="0"/>
    <n v="0"/>
    <n v="25"/>
    <n v="41"/>
    <n v="0"/>
    <n v="1369.31"/>
    <n v="310.5"/>
    <m/>
    <n v="1365.7492482224434"/>
    <n v="221.79210547670309"/>
    <n v="0"/>
    <n v="64662.926129999993"/>
    <n v="14662.7415"/>
    <n v="0"/>
    <n v="64494.776748808443"/>
    <n v="10473.688596926349"/>
  </r>
  <r>
    <s v="Regular"/>
    <x v="0"/>
    <x v="1"/>
    <x v="0"/>
    <x v="0"/>
    <x v="0"/>
    <x v="0"/>
    <x v="1"/>
    <x v="4"/>
    <n v="0"/>
    <n v="0"/>
    <n v="44.844000000000001"/>
    <n v="44.844000000000001"/>
    <n v="44.844000000000001"/>
    <n v="44.844000000000001"/>
    <n v="0"/>
    <x v="0"/>
    <n v="0"/>
    <n v="0"/>
    <n v="25"/>
    <n v="41"/>
    <n v="0"/>
    <n v="1369.31"/>
    <n v="310.5"/>
    <m/>
    <n v="1365.7492482224434"/>
    <n v="221.79210547670309"/>
    <n v="0"/>
    <n v="61405.337639999998"/>
    <n v="13924.062"/>
    <n v="0"/>
    <n v="61245.65928728725"/>
    <n v="9946.0451779972736"/>
  </r>
  <r>
    <s v="Regular"/>
    <x v="0"/>
    <x v="1"/>
    <x v="0"/>
    <x v="0"/>
    <x v="0"/>
    <x v="0"/>
    <x v="1"/>
    <x v="5"/>
    <n v="0"/>
    <n v="0"/>
    <n v="43.325000000000003"/>
    <n v="43.325000000000003"/>
    <n v="43.325000000000003"/>
    <n v="43.325000000000003"/>
    <n v="0"/>
    <x v="0"/>
    <n v="0"/>
    <n v="0"/>
    <n v="25"/>
    <n v="41"/>
    <n v="0"/>
    <n v="1369.31"/>
    <n v="310.5"/>
    <m/>
    <n v="1365.7492482224434"/>
    <n v="221.79210547670309"/>
    <n v="0"/>
    <n v="59325.355750000002"/>
    <n v="13452.4125"/>
    <n v="0"/>
    <n v="59171.086179237362"/>
    <n v="9609.1429697781623"/>
  </r>
  <r>
    <s v="Regular"/>
    <x v="0"/>
    <x v="1"/>
    <x v="0"/>
    <x v="0"/>
    <x v="0"/>
    <x v="0"/>
    <x v="1"/>
    <x v="6"/>
    <n v="0"/>
    <n v="0"/>
    <n v="49.451000000000001"/>
    <n v="49.451000000000001"/>
    <n v="49.451000000000001"/>
    <n v="49.451000000000001"/>
    <n v="0"/>
    <x v="0"/>
    <n v="0"/>
    <n v="0"/>
    <n v="25"/>
    <n v="41"/>
    <n v="0"/>
    <n v="1369.31"/>
    <n v="310.5"/>
    <m/>
    <n v="1365.7492482224434"/>
    <n v="221.79210547670309"/>
    <n v="0"/>
    <n v="67713.748810000005"/>
    <n v="15354.5355"/>
    <n v="0"/>
    <n v="67537.666073848042"/>
    <n v="10967.841407928445"/>
  </r>
  <r>
    <s v="Regular"/>
    <x v="0"/>
    <x v="1"/>
    <x v="0"/>
    <x v="0"/>
    <x v="0"/>
    <x v="0"/>
    <x v="1"/>
    <x v="7"/>
    <n v="0"/>
    <n v="0"/>
    <n v="44.747999999999998"/>
    <n v="44.747999999999998"/>
    <n v="44.747999999999998"/>
    <n v="44.747999999999998"/>
    <n v="0"/>
    <x v="0"/>
    <n v="0"/>
    <n v="0"/>
    <n v="25"/>
    <n v="41"/>
    <n v="0"/>
    <n v="1369.31"/>
    <n v="310.5"/>
    <m/>
    <n v="1365.7492482224434"/>
    <n v="221.79210547670309"/>
    <n v="0"/>
    <n v="61273.883879999994"/>
    <n v="13894.253999999999"/>
    <n v="0"/>
    <n v="61114.547359457894"/>
    <n v="9924.7531358715096"/>
  </r>
  <r>
    <s v="Regular"/>
    <x v="0"/>
    <x v="1"/>
    <x v="0"/>
    <x v="0"/>
    <x v="0"/>
    <x v="0"/>
    <x v="1"/>
    <x v="8"/>
    <n v="0"/>
    <n v="0"/>
    <n v="49.109000000000002"/>
    <n v="49.109000000000002"/>
    <n v="49.109000000000002"/>
    <n v="49.109000000000002"/>
    <n v="0"/>
    <x v="0"/>
    <n v="0"/>
    <n v="0"/>
    <n v="25"/>
    <n v="41"/>
    <n v="0"/>
    <n v="1369.31"/>
    <n v="310.5"/>
    <m/>
    <n v="1365.7492482224434"/>
    <n v="221.79210547670309"/>
    <n v="0"/>
    <n v="67245.444789999994"/>
    <n v="15248.344500000001"/>
    <n v="0"/>
    <n v="67070.579830955976"/>
    <n v="10891.988507855413"/>
  </r>
  <r>
    <s v="Regular"/>
    <x v="0"/>
    <x v="1"/>
    <x v="0"/>
    <x v="0"/>
    <x v="0"/>
    <x v="0"/>
    <x v="1"/>
    <x v="9"/>
    <n v="0"/>
    <n v="0"/>
    <n v="47.128"/>
    <n v="47.128"/>
    <n v="47.128"/>
    <n v="47.128"/>
    <n v="0"/>
    <x v="0"/>
    <n v="0"/>
    <n v="0"/>
    <n v="25"/>
    <n v="41"/>
    <n v="0"/>
    <n v="1369.31"/>
    <n v="310.5"/>
    <m/>
    <n v="1365.7492482224434"/>
    <n v="221.79210547670309"/>
    <n v="0"/>
    <n v="64532.841679999998"/>
    <n v="14633.244000000001"/>
    <n v="0"/>
    <n v="64365.030570227311"/>
    <n v="10452.618346906063"/>
  </r>
  <r>
    <s v="Regular"/>
    <x v="0"/>
    <x v="1"/>
    <x v="0"/>
    <x v="0"/>
    <x v="0"/>
    <x v="0"/>
    <x v="1"/>
    <x v="10"/>
    <n v="0"/>
    <n v="0"/>
    <n v="48.082000000000001"/>
    <n v="48.082000000000001"/>
    <n v="48.082000000000001"/>
    <n v="48.082000000000001"/>
    <n v="0"/>
    <x v="0"/>
    <n v="0"/>
    <n v="0"/>
    <n v="25"/>
    <n v="41"/>
    <n v="0"/>
    <n v="1369.31"/>
    <n v="310.5"/>
    <m/>
    <n v="1365.7492482224434"/>
    <n v="221.79210547670309"/>
    <n v="0"/>
    <n v="65839.163419999997"/>
    <n v="14929.460999999999"/>
    <n v="0"/>
    <n v="65667.955353031517"/>
    <n v="10664.208015530838"/>
  </r>
  <r>
    <s v="Regular"/>
    <x v="0"/>
    <x v="1"/>
    <x v="0"/>
    <x v="0"/>
    <x v="0"/>
    <x v="0"/>
    <x v="1"/>
    <x v="11"/>
    <n v="0"/>
    <n v="0"/>
    <n v="56.726999999999997"/>
    <n v="56.726999999999997"/>
    <n v="56.726999999999997"/>
    <n v="56.726999999999997"/>
    <n v="0"/>
    <x v="0"/>
    <n v="0"/>
    <n v="0"/>
    <n v="25"/>
    <n v="41"/>
    <n v="0"/>
    <n v="1369.31"/>
    <n v="310.5"/>
    <m/>
    <n v="1365.7492482224434"/>
    <n v="221.79210547670309"/>
    <n v="0"/>
    <n v="77676.848369999992"/>
    <n v="17613.733499999998"/>
    <n v="0"/>
    <n v="77474.857603914541"/>
    <n v="12581.600767376935"/>
  </r>
  <r>
    <s v="Regular"/>
    <x v="1"/>
    <x v="2"/>
    <x v="1"/>
    <x v="1"/>
    <x v="0"/>
    <x v="0"/>
    <x v="2"/>
    <x v="0"/>
    <n v="0"/>
    <n v="0"/>
    <n v="38.773000000000003"/>
    <n v="38.773000000000003"/>
    <n v="38.773000000000003"/>
    <n v="38.773000000000003"/>
    <n v="263"/>
    <x v="0"/>
    <n v="0"/>
    <n v="0"/>
    <n v="20"/>
    <n v="37"/>
    <n v="0"/>
    <n v="303.64999999999998"/>
    <n v="310.5"/>
    <m/>
    <n v="308.67928751372165"/>
    <n v="221.79210547670309"/>
    <n v="0"/>
    <n v="11773.42145"/>
    <n v="12039.016500000002"/>
    <n v="0"/>
    <n v="11968.422014769531"/>
    <n v="8599.5453056482093"/>
  </r>
  <r>
    <s v="Regular"/>
    <x v="1"/>
    <x v="2"/>
    <x v="1"/>
    <x v="1"/>
    <x v="0"/>
    <x v="0"/>
    <x v="2"/>
    <x v="1"/>
    <n v="0"/>
    <n v="0"/>
    <n v="37.901000000000003"/>
    <n v="37.901000000000003"/>
    <n v="37.901000000000003"/>
    <n v="37.901000000000003"/>
    <n v="263"/>
    <x v="0"/>
    <n v="0"/>
    <n v="0"/>
    <n v="20"/>
    <n v="37"/>
    <n v="0"/>
    <n v="303.64999999999998"/>
    <n v="310.5"/>
    <m/>
    <n v="308.67928751372165"/>
    <n v="221.79210547670309"/>
    <n v="0"/>
    <n v="11508.638650000001"/>
    <n v="11768.2605"/>
    <n v="0"/>
    <n v="11699.253676057566"/>
    <n v="8406.142589672525"/>
  </r>
  <r>
    <s v="Regular"/>
    <x v="1"/>
    <x v="2"/>
    <x v="1"/>
    <x v="1"/>
    <x v="0"/>
    <x v="0"/>
    <x v="2"/>
    <x v="2"/>
    <n v="0"/>
    <n v="0"/>
    <n v="35.085000000000001"/>
    <n v="35.085000000000001"/>
    <n v="35.085000000000001"/>
    <n v="35.085000000000001"/>
    <n v="258"/>
    <x v="0"/>
    <n v="0"/>
    <n v="0"/>
    <n v="20"/>
    <n v="37"/>
    <n v="0"/>
    <n v="303.64999999999998"/>
    <n v="310.5"/>
    <m/>
    <n v="308.67928751372165"/>
    <n v="221.79210547670309"/>
    <n v="0"/>
    <n v="10653.560249999999"/>
    <n v="10893.8925"/>
    <n v="0"/>
    <n v="10830.012802418923"/>
    <n v="7781.5760206501282"/>
  </r>
  <r>
    <s v="Regular"/>
    <x v="1"/>
    <x v="2"/>
    <x v="1"/>
    <x v="1"/>
    <x v="0"/>
    <x v="0"/>
    <x v="2"/>
    <x v="3"/>
    <n v="0"/>
    <n v="0"/>
    <n v="33"/>
    <n v="33"/>
    <n v="33"/>
    <n v="33"/>
    <n v="262"/>
    <x v="0"/>
    <n v="0"/>
    <n v="0"/>
    <n v="20"/>
    <n v="37"/>
    <n v="0"/>
    <n v="303.64999999999998"/>
    <n v="310.5"/>
    <m/>
    <n v="308.67928751372165"/>
    <n v="221.79210547670309"/>
    <n v="0"/>
    <n v="10020.449999999999"/>
    <n v="10246.5"/>
    <n v="0"/>
    <n v="10186.416487952814"/>
    <n v="7319.1394807312017"/>
  </r>
  <r>
    <s v="Regular"/>
    <x v="1"/>
    <x v="2"/>
    <x v="1"/>
    <x v="1"/>
    <x v="0"/>
    <x v="0"/>
    <x v="2"/>
    <x v="4"/>
    <n v="0"/>
    <n v="0"/>
    <n v="41.52"/>
    <n v="41.52"/>
    <n v="41.52"/>
    <n v="41.52"/>
    <n v="262"/>
    <x v="0"/>
    <n v="0"/>
    <n v="0"/>
    <n v="20"/>
    <n v="37"/>
    <n v="0"/>
    <n v="303.64999999999998"/>
    <n v="310.5"/>
    <m/>
    <n v="308.67928751372165"/>
    <n v="221.79210547670309"/>
    <n v="0"/>
    <n v="12607.548000000001"/>
    <n v="12891.960000000001"/>
    <n v="0"/>
    <n v="12816.364017569724"/>
    <n v="9208.808219392713"/>
  </r>
  <r>
    <s v="Regular"/>
    <x v="1"/>
    <x v="2"/>
    <x v="1"/>
    <x v="1"/>
    <x v="0"/>
    <x v="0"/>
    <x v="2"/>
    <x v="5"/>
    <n v="0"/>
    <n v="0"/>
    <n v="35.936999999999998"/>
    <n v="35.936999999999998"/>
    <n v="35.936999999999998"/>
    <n v="35.936999999999998"/>
    <n v="262"/>
    <x v="0"/>
    <n v="0"/>
    <n v="0"/>
    <n v="20"/>
    <n v="37"/>
    <n v="0"/>
    <n v="303.64999999999998"/>
    <n v="310.5"/>
    <m/>
    <n v="308.67928751372165"/>
    <n v="221.79210547670309"/>
    <n v="0"/>
    <n v="10912.270049999999"/>
    <n v="11158.438499999998"/>
    <n v="0"/>
    <n v="11093.007555380615"/>
    <n v="7970.5428945162785"/>
  </r>
  <r>
    <s v="Regular"/>
    <x v="1"/>
    <x v="2"/>
    <x v="1"/>
    <x v="1"/>
    <x v="0"/>
    <x v="0"/>
    <x v="2"/>
    <x v="6"/>
    <n v="0"/>
    <n v="0"/>
    <n v="34.155999999999999"/>
    <n v="34.155999999999999"/>
    <n v="34.155999999999999"/>
    <n v="34.155999999999999"/>
    <n v="256"/>
    <x v="0"/>
    <n v="0"/>
    <n v="0"/>
    <n v="20"/>
    <n v="37"/>
    <n v="0"/>
    <n v="303.64999999999998"/>
    <n v="310.5"/>
    <m/>
    <n v="308.67928751372165"/>
    <n v="221.79210547670309"/>
    <n v="0"/>
    <n v="10371.469399999998"/>
    <n v="10605.438"/>
    <n v="0"/>
    <n v="10543.249744318677"/>
    <n v="7575.5311546622706"/>
  </r>
  <r>
    <s v="Sistema de Compensação"/>
    <x v="1"/>
    <x v="2"/>
    <x v="1"/>
    <x v="1"/>
    <x v="0"/>
    <x v="0"/>
    <x v="2"/>
    <x v="6"/>
    <n v="0"/>
    <n v="0"/>
    <n v="0.22900000000000001"/>
    <n v="0.22900000000000001"/>
    <n v="0.22900000000000001"/>
    <n v="0.22900000000000001"/>
    <n v="1"/>
    <x v="0"/>
    <n v="0"/>
    <n v="0"/>
    <n v="20"/>
    <n v="37"/>
    <n v="0"/>
    <n v="303.64999999999998"/>
    <n v="310.5"/>
    <m/>
    <n v="308.67928751372165"/>
    <n v="221.79210547670309"/>
    <n v="0"/>
    <n v="69.535849999999996"/>
    <n v="71.104500000000002"/>
    <n v="0"/>
    <n v="70.687556840642259"/>
    <n v="50.790392154165012"/>
  </r>
  <r>
    <s v="Regular"/>
    <x v="1"/>
    <x v="2"/>
    <x v="1"/>
    <x v="1"/>
    <x v="0"/>
    <x v="0"/>
    <x v="2"/>
    <x v="7"/>
    <n v="0"/>
    <n v="0"/>
    <n v="31.923999999999999"/>
    <n v="31.923999999999999"/>
    <n v="31.923999999999999"/>
    <n v="31.923999999999999"/>
    <n v="256"/>
    <x v="0"/>
    <n v="0"/>
    <n v="0"/>
    <n v="20"/>
    <n v="37"/>
    <n v="0"/>
    <n v="303.64999999999998"/>
    <n v="310.5"/>
    <m/>
    <n v="308.67928751372165"/>
    <n v="221.79210547670309"/>
    <n v="0"/>
    <n v="9693.7225999999991"/>
    <n v="9912.402"/>
    <n v="0"/>
    <n v="9854.2775745880499"/>
    <n v="7080.4911752382695"/>
  </r>
  <r>
    <s v="Sistema de Compensação"/>
    <x v="1"/>
    <x v="2"/>
    <x v="1"/>
    <x v="1"/>
    <x v="0"/>
    <x v="0"/>
    <x v="2"/>
    <x v="7"/>
    <n v="0"/>
    <n v="0"/>
    <n v="0.1"/>
    <n v="0.1"/>
    <n v="0.1"/>
    <n v="0.1"/>
    <n v="1"/>
    <x v="0"/>
    <n v="0"/>
    <n v="0"/>
    <n v="20"/>
    <n v="37"/>
    <n v="0"/>
    <n v="303.64999999999998"/>
    <n v="310.5"/>
    <m/>
    <n v="308.67928751372165"/>
    <n v="221.79210547670309"/>
    <n v="0"/>
    <n v="30.364999999999998"/>
    <n v="31.05"/>
    <n v="0"/>
    <n v="30.867928751372165"/>
    <n v="22.179210547670309"/>
  </r>
  <r>
    <s v="Regular"/>
    <x v="1"/>
    <x v="2"/>
    <x v="1"/>
    <x v="1"/>
    <x v="0"/>
    <x v="0"/>
    <x v="2"/>
    <x v="8"/>
    <n v="0"/>
    <n v="0"/>
    <n v="34.506999999999998"/>
    <n v="34.506999999999998"/>
    <n v="34.506999999999998"/>
    <n v="34.506999999999998"/>
    <n v="261"/>
    <x v="0"/>
    <n v="0"/>
    <n v="0"/>
    <n v="20"/>
    <n v="37"/>
    <n v="0"/>
    <n v="303.64999999999998"/>
    <n v="310.5"/>
    <m/>
    <n v="308.67928751372165"/>
    <n v="221.79210547670309"/>
    <n v="0"/>
    <n v="10478.050549999998"/>
    <n v="10714.423499999999"/>
    <n v="0"/>
    <n v="10651.596174235992"/>
    <n v="7653.3801836845932"/>
  </r>
  <r>
    <s v="Sistema de Compensação"/>
    <x v="1"/>
    <x v="2"/>
    <x v="1"/>
    <x v="1"/>
    <x v="0"/>
    <x v="0"/>
    <x v="2"/>
    <x v="8"/>
    <n v="0"/>
    <n v="0"/>
    <n v="0.1"/>
    <n v="0.1"/>
    <n v="0.1"/>
    <n v="0.1"/>
    <n v="1"/>
    <x v="0"/>
    <n v="0"/>
    <n v="0"/>
    <n v="20"/>
    <n v="37"/>
    <n v="0"/>
    <n v="303.64999999999998"/>
    <n v="310.5"/>
    <m/>
    <n v="308.67928751372165"/>
    <n v="221.79210547670309"/>
    <n v="0"/>
    <n v="30.364999999999998"/>
    <n v="31.05"/>
    <n v="0"/>
    <n v="30.867928751372165"/>
    <n v="22.179210547670309"/>
  </r>
  <r>
    <s v="Regular"/>
    <x v="1"/>
    <x v="2"/>
    <x v="1"/>
    <x v="1"/>
    <x v="0"/>
    <x v="0"/>
    <x v="2"/>
    <x v="9"/>
    <n v="0"/>
    <n v="0"/>
    <n v="36.295000000000002"/>
    <n v="36.295000000000002"/>
    <n v="36.295000000000002"/>
    <n v="36.295000000000002"/>
    <n v="262"/>
    <x v="0"/>
    <n v="0"/>
    <n v="0"/>
    <n v="20"/>
    <n v="37"/>
    <n v="0"/>
    <n v="303.64999999999998"/>
    <n v="310.5"/>
    <m/>
    <n v="308.67928751372165"/>
    <n v="221.79210547670309"/>
    <n v="0"/>
    <n v="11020.97675"/>
    <n v="11269.5975"/>
    <n v="0"/>
    <n v="11203.514740310527"/>
    <n v="8049.944468276939"/>
  </r>
  <r>
    <s v="Sistema de Compensação"/>
    <x v="1"/>
    <x v="2"/>
    <x v="1"/>
    <x v="1"/>
    <x v="0"/>
    <x v="0"/>
    <x v="2"/>
    <x v="9"/>
    <n v="0"/>
    <n v="0"/>
    <n v="0.1"/>
    <n v="0.1"/>
    <n v="0.1"/>
    <n v="0.1"/>
    <n v="1"/>
    <x v="0"/>
    <n v="0"/>
    <n v="0"/>
    <n v="20"/>
    <n v="37"/>
    <n v="0"/>
    <n v="303.64999999999998"/>
    <n v="310.5"/>
    <m/>
    <n v="308.67928751372165"/>
    <n v="221.79210547670309"/>
    <n v="0"/>
    <n v="30.364999999999998"/>
    <n v="31.05"/>
    <n v="0"/>
    <n v="30.867928751372165"/>
    <n v="22.179210547670309"/>
  </r>
  <r>
    <s v="Regular"/>
    <x v="1"/>
    <x v="2"/>
    <x v="1"/>
    <x v="1"/>
    <x v="0"/>
    <x v="0"/>
    <x v="2"/>
    <x v="10"/>
    <n v="0"/>
    <n v="0"/>
    <n v="34.405000000000001"/>
    <n v="34.405000000000001"/>
    <n v="34.405000000000001"/>
    <n v="34.405000000000001"/>
    <n v="267"/>
    <x v="0"/>
    <n v="0"/>
    <n v="0"/>
    <n v="20"/>
    <n v="37"/>
    <n v="0"/>
    <n v="303.64999999999998"/>
    <n v="310.5"/>
    <m/>
    <n v="308.67928751372165"/>
    <n v="221.79210547670309"/>
    <n v="0"/>
    <n v="10447.078249999999"/>
    <n v="10682.752500000001"/>
    <n v="0"/>
    <n v="10620.110886909593"/>
    <n v="7630.7573889259702"/>
  </r>
  <r>
    <s v="Sistema de Compensação"/>
    <x v="1"/>
    <x v="2"/>
    <x v="1"/>
    <x v="1"/>
    <x v="0"/>
    <x v="0"/>
    <x v="2"/>
    <x v="10"/>
    <n v="0"/>
    <n v="0"/>
    <n v="0.1"/>
    <n v="0.1"/>
    <n v="0.1"/>
    <n v="0.1"/>
    <n v="1"/>
    <x v="0"/>
    <n v="0"/>
    <n v="0"/>
    <n v="20"/>
    <n v="37"/>
    <n v="0"/>
    <n v="303.64999999999998"/>
    <n v="310.5"/>
    <m/>
    <n v="308.67928751372165"/>
    <n v="221.79210547670309"/>
    <n v="0"/>
    <n v="30.364999999999998"/>
    <n v="31.05"/>
    <n v="0"/>
    <n v="30.867928751372165"/>
    <n v="22.179210547670309"/>
  </r>
  <r>
    <s v="Regular"/>
    <x v="1"/>
    <x v="2"/>
    <x v="1"/>
    <x v="1"/>
    <x v="0"/>
    <x v="0"/>
    <x v="2"/>
    <x v="11"/>
    <n v="0"/>
    <n v="0"/>
    <n v="40.055999999999997"/>
    <n v="40.055999999999997"/>
    <n v="40.055999999999997"/>
    <n v="40.055999999999997"/>
    <n v="272"/>
    <x v="0"/>
    <n v="0"/>
    <n v="0"/>
    <n v="20"/>
    <n v="37"/>
    <n v="0"/>
    <n v="303.64999999999998"/>
    <n v="310.5"/>
    <m/>
    <n v="308.67928751372165"/>
    <n v="221.79210547670309"/>
    <n v="0"/>
    <n v="12163.004399999998"/>
    <n v="12437.387999999999"/>
    <n v="0"/>
    <n v="12364.457540649633"/>
    <n v="8884.104576974818"/>
  </r>
  <r>
    <s v="Sistema de Compensação"/>
    <x v="1"/>
    <x v="2"/>
    <x v="1"/>
    <x v="1"/>
    <x v="0"/>
    <x v="0"/>
    <x v="2"/>
    <x v="11"/>
    <n v="0"/>
    <n v="0"/>
    <n v="0.1"/>
    <n v="0.1"/>
    <n v="0.1"/>
    <n v="0.1"/>
    <n v="1"/>
    <x v="0"/>
    <n v="0"/>
    <n v="0"/>
    <n v="20"/>
    <n v="37"/>
    <n v="0"/>
    <n v="303.64999999999998"/>
    <n v="310.5"/>
    <m/>
    <n v="308.67928751372165"/>
    <n v="221.79210547670309"/>
    <n v="0"/>
    <n v="30.364999999999998"/>
    <n v="31.05"/>
    <n v="0"/>
    <n v="30.867928751372165"/>
    <n v="22.179210547670309"/>
  </r>
  <r>
    <s v="Regular"/>
    <x v="1"/>
    <x v="2"/>
    <x v="1"/>
    <x v="2"/>
    <x v="0"/>
    <x v="0"/>
    <x v="2"/>
    <x v="0"/>
    <n v="0"/>
    <n v="0"/>
    <n v="0.06"/>
    <n v="0.06"/>
    <n v="0.06"/>
    <n v="0.06"/>
    <n v="0"/>
    <x v="0"/>
    <n v="0"/>
    <n v="0"/>
    <n v="16"/>
    <n v="45"/>
    <n v="0"/>
    <n v="77.760000000000005"/>
    <n v="108.67"/>
    <m/>
    <n v="73.984400317019478"/>
    <n v="77.627236916846073"/>
    <n v="0"/>
    <n v="4.6656000000000004"/>
    <n v="6.5202"/>
    <n v="0"/>
    <n v="4.4390640190211688"/>
    <n v="4.6576342150107646"/>
  </r>
  <r>
    <s v="Regular"/>
    <x v="1"/>
    <x v="2"/>
    <x v="1"/>
    <x v="2"/>
    <x v="0"/>
    <x v="0"/>
    <x v="2"/>
    <x v="1"/>
    <n v="0"/>
    <n v="0"/>
    <n v="0.06"/>
    <n v="0.06"/>
    <n v="0.06"/>
    <n v="0.06"/>
    <n v="0"/>
    <x v="0"/>
    <n v="0"/>
    <n v="0"/>
    <n v="16"/>
    <n v="45"/>
    <n v="0"/>
    <n v="77.760000000000005"/>
    <n v="108.67"/>
    <m/>
    <n v="73.984400317019478"/>
    <n v="77.627236916846073"/>
    <n v="0"/>
    <n v="4.6656000000000004"/>
    <n v="6.5202"/>
    <n v="0"/>
    <n v="4.4390640190211688"/>
    <n v="4.6576342150107646"/>
  </r>
  <r>
    <s v="Regular"/>
    <x v="1"/>
    <x v="2"/>
    <x v="1"/>
    <x v="2"/>
    <x v="0"/>
    <x v="0"/>
    <x v="2"/>
    <x v="2"/>
    <n v="0"/>
    <n v="0"/>
    <n v="0.09"/>
    <n v="0.09"/>
    <n v="0.09"/>
    <n v="0.09"/>
    <n v="0"/>
    <x v="0"/>
    <n v="0"/>
    <n v="0"/>
    <n v="16"/>
    <n v="45"/>
    <n v="0"/>
    <n v="77.760000000000005"/>
    <n v="108.67"/>
    <m/>
    <n v="73.984400317019478"/>
    <n v="77.627236916846073"/>
    <n v="0"/>
    <n v="6.9984000000000002"/>
    <n v="9.7803000000000004"/>
    <n v="0"/>
    <n v="6.6585960285317531"/>
    <n v="6.986451322516146"/>
  </r>
  <r>
    <s v="Regular"/>
    <x v="1"/>
    <x v="2"/>
    <x v="1"/>
    <x v="2"/>
    <x v="0"/>
    <x v="0"/>
    <x v="2"/>
    <x v="3"/>
    <n v="0"/>
    <n v="0"/>
    <n v="0.09"/>
    <n v="0.09"/>
    <n v="0.09"/>
    <n v="0.09"/>
    <n v="0"/>
    <x v="0"/>
    <n v="0"/>
    <n v="0"/>
    <n v="16"/>
    <n v="45"/>
    <n v="0"/>
    <n v="77.760000000000005"/>
    <n v="108.67"/>
    <m/>
    <n v="73.984400317019478"/>
    <n v="77.627236916846073"/>
    <n v="0"/>
    <n v="6.9984000000000002"/>
    <n v="9.7803000000000004"/>
    <n v="0"/>
    <n v="6.6585960285317531"/>
    <n v="6.986451322516146"/>
  </r>
  <r>
    <s v="Regular"/>
    <x v="1"/>
    <x v="2"/>
    <x v="1"/>
    <x v="2"/>
    <x v="0"/>
    <x v="0"/>
    <x v="2"/>
    <x v="4"/>
    <n v="0"/>
    <n v="0"/>
    <n v="0.09"/>
    <n v="0.09"/>
    <n v="0.09"/>
    <n v="0.09"/>
    <n v="0"/>
    <x v="0"/>
    <n v="0"/>
    <n v="0"/>
    <n v="16"/>
    <n v="45"/>
    <n v="0"/>
    <n v="77.760000000000005"/>
    <n v="108.67"/>
    <m/>
    <n v="73.984400317019478"/>
    <n v="77.627236916846073"/>
    <n v="0"/>
    <n v="6.9984000000000002"/>
    <n v="9.7803000000000004"/>
    <n v="0"/>
    <n v="6.6585960285317531"/>
    <n v="6.986451322516146"/>
  </r>
  <r>
    <s v="Regular"/>
    <x v="1"/>
    <x v="2"/>
    <x v="1"/>
    <x v="2"/>
    <x v="0"/>
    <x v="0"/>
    <x v="2"/>
    <x v="5"/>
    <n v="0"/>
    <n v="0"/>
    <n v="0.18"/>
    <n v="0.18"/>
    <n v="0.18"/>
    <n v="0.18"/>
    <n v="0"/>
    <x v="0"/>
    <n v="0"/>
    <n v="0"/>
    <n v="16"/>
    <n v="45"/>
    <n v="0"/>
    <n v="77.760000000000005"/>
    <n v="108.67"/>
    <m/>
    <n v="73.984400317019478"/>
    <n v="77.627236916846073"/>
    <n v="0"/>
    <n v="13.9968"/>
    <n v="19.560600000000001"/>
    <n v="0"/>
    <n v="13.317192057063506"/>
    <n v="13.972902645032292"/>
  </r>
  <r>
    <s v="Regular"/>
    <x v="1"/>
    <x v="2"/>
    <x v="1"/>
    <x v="2"/>
    <x v="0"/>
    <x v="0"/>
    <x v="2"/>
    <x v="6"/>
    <n v="0"/>
    <n v="0"/>
    <n v="0.3"/>
    <n v="0.3"/>
    <n v="0.3"/>
    <n v="0.3"/>
    <n v="1"/>
    <x v="0"/>
    <n v="0"/>
    <n v="0"/>
    <n v="16"/>
    <n v="45"/>
    <n v="0"/>
    <n v="77.760000000000005"/>
    <n v="108.67"/>
    <m/>
    <n v="73.984400317019478"/>
    <n v="77.627236916846073"/>
    <n v="0"/>
    <n v="23.327999999999999"/>
    <n v="32.600999999999999"/>
    <n v="0"/>
    <n v="22.195320095105842"/>
    <n v="23.288171075053821"/>
  </r>
  <r>
    <s v="Regular"/>
    <x v="1"/>
    <x v="2"/>
    <x v="1"/>
    <x v="2"/>
    <x v="0"/>
    <x v="0"/>
    <x v="2"/>
    <x v="7"/>
    <n v="0"/>
    <n v="0"/>
    <n v="0.3"/>
    <n v="0.3"/>
    <n v="0.3"/>
    <n v="0.3"/>
    <n v="2"/>
    <x v="0"/>
    <n v="0"/>
    <n v="0"/>
    <n v="16"/>
    <n v="45"/>
    <n v="0"/>
    <n v="77.760000000000005"/>
    <n v="108.67"/>
    <m/>
    <n v="73.984400317019478"/>
    <n v="77.627236916846073"/>
    <n v="0"/>
    <n v="23.327999999999999"/>
    <n v="32.600999999999999"/>
    <n v="0"/>
    <n v="22.195320095105842"/>
    <n v="23.288171075053821"/>
  </r>
  <r>
    <s v="Regular"/>
    <x v="1"/>
    <x v="2"/>
    <x v="1"/>
    <x v="2"/>
    <x v="0"/>
    <x v="0"/>
    <x v="2"/>
    <x v="8"/>
    <n v="0"/>
    <n v="0"/>
    <n v="0.3"/>
    <n v="0.3"/>
    <n v="0.3"/>
    <n v="0.3"/>
    <n v="2"/>
    <x v="0"/>
    <n v="0"/>
    <n v="0"/>
    <n v="16"/>
    <n v="45"/>
    <n v="0"/>
    <n v="77.760000000000005"/>
    <n v="108.67"/>
    <m/>
    <n v="73.984400317019478"/>
    <n v="77.627236916846073"/>
    <n v="0"/>
    <n v="23.327999999999999"/>
    <n v="32.600999999999999"/>
    <n v="0"/>
    <n v="22.195320095105842"/>
    <n v="23.288171075053821"/>
  </r>
  <r>
    <s v="Regular"/>
    <x v="1"/>
    <x v="2"/>
    <x v="1"/>
    <x v="2"/>
    <x v="0"/>
    <x v="0"/>
    <x v="2"/>
    <x v="9"/>
    <n v="0"/>
    <n v="0"/>
    <n v="0.3"/>
    <n v="0.3"/>
    <n v="0.3"/>
    <n v="0.3"/>
    <n v="2"/>
    <x v="0"/>
    <n v="0"/>
    <n v="0"/>
    <n v="16"/>
    <n v="45"/>
    <n v="0"/>
    <n v="77.760000000000005"/>
    <n v="108.67"/>
    <m/>
    <n v="73.984400317019478"/>
    <n v="77.627236916846073"/>
    <n v="0"/>
    <n v="23.327999999999999"/>
    <n v="32.600999999999999"/>
    <n v="0"/>
    <n v="22.195320095105842"/>
    <n v="23.288171075053821"/>
  </r>
  <r>
    <s v="Regular"/>
    <x v="1"/>
    <x v="2"/>
    <x v="1"/>
    <x v="2"/>
    <x v="0"/>
    <x v="0"/>
    <x v="2"/>
    <x v="10"/>
    <n v="0"/>
    <n v="0"/>
    <n v="0.3"/>
    <n v="0.3"/>
    <n v="0.3"/>
    <n v="0.3"/>
    <n v="2"/>
    <x v="0"/>
    <n v="0"/>
    <n v="0"/>
    <n v="16"/>
    <n v="45"/>
    <n v="0"/>
    <n v="77.760000000000005"/>
    <n v="108.67"/>
    <m/>
    <n v="73.984400317019478"/>
    <n v="77.627236916846073"/>
    <n v="0"/>
    <n v="23.327999999999999"/>
    <n v="32.600999999999999"/>
    <n v="0"/>
    <n v="22.195320095105842"/>
    <n v="23.288171075053821"/>
  </r>
  <r>
    <s v="Regular"/>
    <x v="1"/>
    <x v="2"/>
    <x v="1"/>
    <x v="2"/>
    <x v="0"/>
    <x v="0"/>
    <x v="2"/>
    <x v="11"/>
    <n v="0"/>
    <n v="0"/>
    <n v="0.3"/>
    <n v="0.3"/>
    <n v="0.3"/>
    <n v="0.3"/>
    <n v="2"/>
    <x v="0"/>
    <n v="0"/>
    <n v="0"/>
    <n v="16"/>
    <n v="45"/>
    <n v="0"/>
    <n v="77.760000000000005"/>
    <n v="108.67"/>
    <m/>
    <n v="73.984400317019478"/>
    <n v="77.627236916846073"/>
    <n v="0"/>
    <n v="23.327999999999999"/>
    <n v="32.600999999999999"/>
    <n v="0"/>
    <n v="22.195320095105842"/>
    <n v="23.288171075053821"/>
  </r>
  <r>
    <s v="Regular"/>
    <x v="1"/>
    <x v="2"/>
    <x v="1"/>
    <x v="3"/>
    <x v="0"/>
    <x v="0"/>
    <x v="2"/>
    <x v="0"/>
    <n v="0"/>
    <n v="0"/>
    <n v="0.13200000000000001"/>
    <n v="0.13200000000000001"/>
    <n v="0.13200000000000001"/>
    <n v="0.13200000000000001"/>
    <n v="1"/>
    <x v="0"/>
    <n v="0"/>
    <n v="0"/>
    <n v="10"/>
    <n v="56"/>
    <n v="0"/>
    <n v="133.31"/>
    <n v="186.3"/>
    <m/>
    <n v="126.83040054346196"/>
    <n v="133.07526328602185"/>
    <n v="0"/>
    <n v="17.596920000000001"/>
    <n v="24.591600000000003"/>
    <n v="0"/>
    <n v="16.741612871736979"/>
    <n v="17.565934753754885"/>
  </r>
  <r>
    <s v="Regular"/>
    <x v="1"/>
    <x v="2"/>
    <x v="1"/>
    <x v="3"/>
    <x v="0"/>
    <x v="0"/>
    <x v="2"/>
    <x v="1"/>
    <n v="0"/>
    <n v="0"/>
    <n v="0.13300000000000001"/>
    <n v="0.13300000000000001"/>
    <n v="0.13300000000000001"/>
    <n v="0.13300000000000001"/>
    <n v="1"/>
    <x v="0"/>
    <n v="0"/>
    <n v="0"/>
    <n v="10"/>
    <n v="56"/>
    <n v="0"/>
    <n v="133.31"/>
    <n v="186.3"/>
    <m/>
    <n v="126.83040054346196"/>
    <n v="133.07526328602185"/>
    <n v="0"/>
    <n v="17.730230000000002"/>
    <n v="24.777900000000002"/>
    <n v="0"/>
    <n v="16.868443272280441"/>
    <n v="17.699010017040909"/>
  </r>
  <r>
    <s v="Regular"/>
    <x v="1"/>
    <x v="2"/>
    <x v="1"/>
    <x v="3"/>
    <x v="0"/>
    <x v="0"/>
    <x v="2"/>
    <x v="2"/>
    <n v="0"/>
    <n v="0"/>
    <n v="0.21"/>
    <n v="0.21"/>
    <n v="0.21"/>
    <n v="0.21"/>
    <n v="0"/>
    <x v="0"/>
    <n v="0"/>
    <n v="0"/>
    <n v="10"/>
    <n v="56"/>
    <n v="0"/>
    <n v="133.31"/>
    <n v="186.3"/>
    <m/>
    <n v="126.83040054346196"/>
    <n v="133.07526328602185"/>
    <n v="0"/>
    <n v="27.995100000000001"/>
    <n v="39.122999999999998"/>
    <n v="0"/>
    <n v="26.634384114127013"/>
    <n v="27.945805290064587"/>
  </r>
  <r>
    <s v="Regular"/>
    <x v="1"/>
    <x v="2"/>
    <x v="1"/>
    <x v="3"/>
    <x v="0"/>
    <x v="0"/>
    <x v="2"/>
    <x v="3"/>
    <n v="0"/>
    <n v="0"/>
    <n v="0.21"/>
    <n v="0.21"/>
    <n v="0.21"/>
    <n v="0.21"/>
    <n v="0"/>
    <x v="0"/>
    <n v="0"/>
    <n v="0"/>
    <n v="10"/>
    <n v="56"/>
    <n v="0"/>
    <n v="133.31"/>
    <n v="186.3"/>
    <m/>
    <n v="126.83040054346196"/>
    <n v="133.07526328602185"/>
    <n v="0"/>
    <n v="27.995100000000001"/>
    <n v="39.122999999999998"/>
    <n v="0"/>
    <n v="26.634384114127013"/>
    <n v="27.945805290064587"/>
  </r>
  <r>
    <s v="Regular"/>
    <x v="1"/>
    <x v="2"/>
    <x v="1"/>
    <x v="3"/>
    <x v="0"/>
    <x v="0"/>
    <x v="2"/>
    <x v="4"/>
    <n v="0"/>
    <n v="0"/>
    <n v="0.21"/>
    <n v="0.21"/>
    <n v="0.21"/>
    <n v="0.21"/>
    <n v="0"/>
    <x v="0"/>
    <n v="0"/>
    <n v="0"/>
    <n v="10"/>
    <n v="56"/>
    <n v="0"/>
    <n v="133.31"/>
    <n v="186.3"/>
    <m/>
    <n v="126.83040054346196"/>
    <n v="133.07526328602185"/>
    <n v="0"/>
    <n v="27.995100000000001"/>
    <n v="39.122999999999998"/>
    <n v="0"/>
    <n v="26.634384114127013"/>
    <n v="27.945805290064587"/>
  </r>
  <r>
    <s v="Regular"/>
    <x v="1"/>
    <x v="2"/>
    <x v="1"/>
    <x v="3"/>
    <x v="0"/>
    <x v="0"/>
    <x v="2"/>
    <x v="5"/>
    <n v="0"/>
    <n v="0"/>
    <n v="0.42"/>
    <n v="0.42"/>
    <n v="0.42"/>
    <n v="0.42"/>
    <n v="0"/>
    <x v="0"/>
    <n v="0"/>
    <n v="0"/>
    <n v="10"/>
    <n v="56"/>
    <n v="0"/>
    <n v="133.31"/>
    <n v="186.3"/>
    <m/>
    <n v="126.83040054346196"/>
    <n v="133.07526328602185"/>
    <n v="0"/>
    <n v="55.990200000000002"/>
    <n v="78.245999999999995"/>
    <n v="0"/>
    <n v="53.268768228254025"/>
    <n v="55.891610580129175"/>
  </r>
  <r>
    <s v="Regular"/>
    <x v="1"/>
    <x v="2"/>
    <x v="1"/>
    <x v="3"/>
    <x v="0"/>
    <x v="0"/>
    <x v="2"/>
    <x v="6"/>
    <n v="0"/>
    <n v="0"/>
    <n v="0.56100000000000005"/>
    <n v="0.56100000000000005"/>
    <n v="0.56100000000000005"/>
    <n v="0.56100000000000005"/>
    <n v="1"/>
    <x v="0"/>
    <n v="0"/>
    <n v="0"/>
    <n v="10"/>
    <n v="56"/>
    <n v="0"/>
    <n v="133.31"/>
    <n v="186.3"/>
    <m/>
    <n v="126.83040054346196"/>
    <n v="133.07526328602185"/>
    <n v="0"/>
    <n v="74.786910000000006"/>
    <n v="104.51430000000002"/>
    <n v="0"/>
    <n v="71.151854704882169"/>
    <n v="74.655222703458264"/>
  </r>
  <r>
    <s v="Regular"/>
    <x v="1"/>
    <x v="2"/>
    <x v="1"/>
    <x v="3"/>
    <x v="0"/>
    <x v="0"/>
    <x v="2"/>
    <x v="7"/>
    <n v="0"/>
    <n v="0"/>
    <n v="0.49199999999999999"/>
    <n v="0.49199999999999999"/>
    <n v="0.49199999999999999"/>
    <n v="0.49199999999999999"/>
    <n v="1"/>
    <x v="0"/>
    <n v="0"/>
    <n v="0"/>
    <n v="10"/>
    <n v="56"/>
    <n v="0"/>
    <n v="133.31"/>
    <n v="186.3"/>
    <m/>
    <n v="126.83040054346196"/>
    <n v="133.07526328602185"/>
    <n v="0"/>
    <n v="65.588520000000003"/>
    <n v="91.659599999999998"/>
    <n v="0"/>
    <n v="62.400557067383282"/>
    <n v="65.473029536722748"/>
  </r>
  <r>
    <s v="Regular"/>
    <x v="1"/>
    <x v="2"/>
    <x v="1"/>
    <x v="3"/>
    <x v="0"/>
    <x v="0"/>
    <x v="2"/>
    <x v="8"/>
    <n v="0"/>
    <n v="0"/>
    <n v="0.495"/>
    <n v="0.495"/>
    <n v="0.495"/>
    <n v="0.495"/>
    <n v="1"/>
    <x v="0"/>
    <n v="0"/>
    <n v="0"/>
    <n v="10"/>
    <n v="56"/>
    <n v="0"/>
    <n v="133.31"/>
    <n v="186.3"/>
    <m/>
    <n v="126.83040054346196"/>
    <n v="133.07526328602185"/>
    <n v="0"/>
    <n v="65.98845"/>
    <n v="92.218500000000006"/>
    <n v="0"/>
    <n v="62.781048269013674"/>
    <n v="65.872255326580813"/>
  </r>
  <r>
    <s v="Regular"/>
    <x v="1"/>
    <x v="2"/>
    <x v="1"/>
    <x v="3"/>
    <x v="0"/>
    <x v="0"/>
    <x v="2"/>
    <x v="9"/>
    <n v="0"/>
    <n v="0"/>
    <n v="0.48099999999999998"/>
    <n v="0.48099999999999998"/>
    <n v="0.48099999999999998"/>
    <n v="0.48099999999999998"/>
    <n v="2"/>
    <x v="0"/>
    <n v="0"/>
    <n v="0"/>
    <n v="10"/>
    <n v="56"/>
    <n v="0"/>
    <n v="133.31"/>
    <n v="186.3"/>
    <m/>
    <n v="126.83040054346196"/>
    <n v="133.07526328602185"/>
    <n v="0"/>
    <n v="64.122109999999992"/>
    <n v="89.610300000000009"/>
    <n v="0"/>
    <n v="61.005422661405198"/>
    <n v="64.009201640576507"/>
  </r>
  <r>
    <s v="Regular"/>
    <x v="1"/>
    <x v="2"/>
    <x v="1"/>
    <x v="3"/>
    <x v="0"/>
    <x v="0"/>
    <x v="2"/>
    <x v="10"/>
    <n v="0"/>
    <n v="0"/>
    <n v="0.48899999999999999"/>
    <n v="0.48899999999999999"/>
    <n v="0.48899999999999999"/>
    <n v="0.48899999999999999"/>
    <n v="2"/>
    <x v="0"/>
    <n v="0"/>
    <n v="0"/>
    <n v="10"/>
    <n v="56"/>
    <n v="0"/>
    <n v="133.31"/>
    <n v="186.3"/>
    <m/>
    <n v="126.83040054346196"/>
    <n v="133.07526328602185"/>
    <n v="0"/>
    <n v="65.188590000000005"/>
    <n v="91.100700000000003"/>
    <n v="0"/>
    <n v="62.020065865752898"/>
    <n v="65.073803746864684"/>
  </r>
  <r>
    <s v="Regular"/>
    <x v="1"/>
    <x v="2"/>
    <x v="1"/>
    <x v="3"/>
    <x v="0"/>
    <x v="0"/>
    <x v="2"/>
    <x v="11"/>
    <n v="0"/>
    <n v="0"/>
    <n v="0.49399999999999999"/>
    <n v="0.49399999999999999"/>
    <n v="0.49399999999999999"/>
    <n v="0.49399999999999999"/>
    <n v="1"/>
    <x v="0"/>
    <n v="0"/>
    <n v="0"/>
    <n v="10"/>
    <n v="56"/>
    <n v="0"/>
    <n v="133.31"/>
    <n v="186.3"/>
    <m/>
    <n v="126.83040054346196"/>
    <n v="133.07526328602185"/>
    <n v="0"/>
    <n v="65.855140000000006"/>
    <n v="92.032200000000003"/>
    <n v="0"/>
    <n v="62.654217868470212"/>
    <n v="65.739180063294796"/>
  </r>
  <r>
    <s v="Regular"/>
    <x v="1"/>
    <x v="2"/>
    <x v="1"/>
    <x v="4"/>
    <x v="0"/>
    <x v="0"/>
    <x v="2"/>
    <x v="0"/>
    <n v="0"/>
    <n v="0"/>
    <n v="0.12"/>
    <n v="0.12"/>
    <n v="0.12"/>
    <n v="0.12"/>
    <n v="0"/>
    <x v="0"/>
    <n v="0"/>
    <n v="0"/>
    <n v="42"/>
    <n v="60"/>
    <n v="0"/>
    <n v="199.96"/>
    <n v="279.45"/>
    <m/>
    <n v="190.24560081519294"/>
    <n v="199.61289492903279"/>
    <n v="0"/>
    <n v="23.995200000000001"/>
    <n v="33.533999999999999"/>
    <n v="0"/>
    <n v="22.829472097823153"/>
    <n v="23.953547391483934"/>
  </r>
  <r>
    <s v="Regular"/>
    <x v="1"/>
    <x v="2"/>
    <x v="1"/>
    <x v="4"/>
    <x v="0"/>
    <x v="0"/>
    <x v="2"/>
    <x v="1"/>
    <n v="0"/>
    <n v="0"/>
    <n v="0.106"/>
    <n v="0.106"/>
    <n v="0.106"/>
    <n v="0.106"/>
    <n v="1"/>
    <x v="0"/>
    <n v="0"/>
    <n v="0"/>
    <n v="42"/>
    <n v="60"/>
    <n v="0"/>
    <n v="199.96"/>
    <n v="279.45"/>
    <m/>
    <n v="190.24560081519294"/>
    <n v="199.61289492903279"/>
    <n v="0"/>
    <n v="21.19576"/>
    <n v="29.621699999999997"/>
    <n v="0"/>
    <n v="20.166033686410451"/>
    <n v="21.158966862477474"/>
  </r>
  <r>
    <s v="Regular"/>
    <x v="1"/>
    <x v="2"/>
    <x v="1"/>
    <x v="4"/>
    <x v="0"/>
    <x v="0"/>
    <x v="2"/>
    <x v="2"/>
    <n v="0"/>
    <n v="0"/>
    <n v="0.215"/>
    <n v="0.215"/>
    <n v="0.215"/>
    <n v="0.215"/>
    <n v="3"/>
    <x v="0"/>
    <n v="0"/>
    <n v="0"/>
    <n v="42"/>
    <n v="60"/>
    <n v="0"/>
    <n v="199.96"/>
    <n v="279.45"/>
    <m/>
    <n v="190.24560081519294"/>
    <n v="199.61289492903279"/>
    <n v="0"/>
    <n v="42.991399999999999"/>
    <n v="60.08175"/>
    <n v="0"/>
    <n v="40.902804175266482"/>
    <n v="42.916772409742052"/>
  </r>
  <r>
    <s v="Regular"/>
    <x v="1"/>
    <x v="2"/>
    <x v="1"/>
    <x v="4"/>
    <x v="0"/>
    <x v="0"/>
    <x v="2"/>
    <x v="3"/>
    <n v="0"/>
    <n v="0"/>
    <n v="0.215"/>
    <n v="0.215"/>
    <n v="0.215"/>
    <n v="0.215"/>
    <n v="2"/>
    <x v="0"/>
    <n v="0"/>
    <n v="0"/>
    <n v="42"/>
    <n v="60"/>
    <n v="0"/>
    <n v="199.96"/>
    <n v="279.45"/>
    <m/>
    <n v="190.24560081519294"/>
    <n v="199.61289492903279"/>
    <n v="0"/>
    <n v="42.991399999999999"/>
    <n v="60.08175"/>
    <n v="0"/>
    <n v="40.902804175266482"/>
    <n v="42.916772409742052"/>
  </r>
  <r>
    <s v="Regular"/>
    <x v="1"/>
    <x v="2"/>
    <x v="1"/>
    <x v="4"/>
    <x v="0"/>
    <x v="0"/>
    <x v="2"/>
    <x v="4"/>
    <n v="0"/>
    <n v="0"/>
    <n v="0.29799999999999999"/>
    <n v="0.29799999999999999"/>
    <n v="0.29799999999999999"/>
    <n v="0.29799999999999999"/>
    <n v="1"/>
    <x v="0"/>
    <n v="0"/>
    <n v="0"/>
    <n v="42"/>
    <n v="60"/>
    <n v="0"/>
    <n v="199.96"/>
    <n v="279.45"/>
    <m/>
    <n v="190.24560081519294"/>
    <n v="199.61289492903279"/>
    <n v="0"/>
    <n v="59.588079999999998"/>
    <n v="83.2761"/>
    <n v="0"/>
    <n v="56.693189042927493"/>
    <n v="59.484642688851771"/>
  </r>
  <r>
    <s v="Regular"/>
    <x v="1"/>
    <x v="2"/>
    <x v="1"/>
    <x v="4"/>
    <x v="0"/>
    <x v="0"/>
    <x v="2"/>
    <x v="5"/>
    <n v="0"/>
    <n v="0"/>
    <n v="0.56499999999999995"/>
    <n v="0.56499999999999995"/>
    <n v="0.56499999999999995"/>
    <n v="0.56499999999999995"/>
    <n v="4"/>
    <x v="0"/>
    <n v="0"/>
    <n v="0"/>
    <n v="42"/>
    <n v="60"/>
    <n v="0"/>
    <n v="199.96"/>
    <n v="279.45"/>
    <m/>
    <n v="190.24560081519294"/>
    <n v="199.61289492903279"/>
    <n v="0"/>
    <n v="112.97739999999999"/>
    <n v="157.88924999999998"/>
    <n v="0"/>
    <n v="107.48876446058401"/>
    <n v="112.78128563490351"/>
  </r>
  <r>
    <s v="Regular"/>
    <x v="1"/>
    <x v="2"/>
    <x v="1"/>
    <x v="4"/>
    <x v="0"/>
    <x v="0"/>
    <x v="2"/>
    <x v="6"/>
    <n v="0"/>
    <n v="0"/>
    <n v="0.77600000000000002"/>
    <n v="0.77600000000000002"/>
    <n v="0.77600000000000002"/>
    <n v="0.77600000000000002"/>
    <n v="4"/>
    <x v="0"/>
    <n v="0"/>
    <n v="0"/>
    <n v="42"/>
    <n v="60"/>
    <n v="0"/>
    <n v="199.96"/>
    <n v="279.45"/>
    <m/>
    <n v="190.24560081519294"/>
    <n v="199.61289492903279"/>
    <n v="0"/>
    <n v="155.16896"/>
    <n v="216.85319999999999"/>
    <n v="0"/>
    <n v="147.63058623258974"/>
    <n v="154.89960646492946"/>
  </r>
  <r>
    <s v="Regular"/>
    <x v="1"/>
    <x v="2"/>
    <x v="1"/>
    <x v="4"/>
    <x v="0"/>
    <x v="0"/>
    <x v="2"/>
    <x v="7"/>
    <n v="0"/>
    <n v="0"/>
    <n v="0.66600000000000004"/>
    <n v="0.66600000000000004"/>
    <n v="0.66600000000000004"/>
    <n v="0.66600000000000004"/>
    <n v="5"/>
    <x v="0"/>
    <n v="0"/>
    <n v="0"/>
    <n v="42"/>
    <n v="60"/>
    <n v="0"/>
    <n v="199.96"/>
    <n v="279.45"/>
    <m/>
    <n v="190.24560081519294"/>
    <n v="199.61289492903279"/>
    <n v="0"/>
    <n v="133.17336"/>
    <n v="186.11369999999999"/>
    <n v="0"/>
    <n v="126.70357014291851"/>
    <n v="132.94218802273585"/>
  </r>
  <r>
    <s v="Regular"/>
    <x v="1"/>
    <x v="2"/>
    <x v="1"/>
    <x v="4"/>
    <x v="0"/>
    <x v="0"/>
    <x v="2"/>
    <x v="8"/>
    <n v="0"/>
    <n v="0"/>
    <n v="0.71099999999999997"/>
    <n v="0.71099999999999997"/>
    <n v="0.71099999999999997"/>
    <n v="0.71099999999999997"/>
    <n v="3"/>
    <x v="0"/>
    <n v="0"/>
    <n v="0"/>
    <n v="42"/>
    <n v="60"/>
    <n v="0"/>
    <n v="199.96"/>
    <n v="279.45"/>
    <m/>
    <n v="190.24560081519294"/>
    <n v="199.61289492903279"/>
    <n v="0"/>
    <n v="142.17156"/>
    <n v="198.68894999999998"/>
    <n v="0"/>
    <n v="135.26462217960218"/>
    <n v="141.9247682945423"/>
  </r>
  <r>
    <s v="Regular"/>
    <x v="1"/>
    <x v="2"/>
    <x v="1"/>
    <x v="4"/>
    <x v="0"/>
    <x v="0"/>
    <x v="2"/>
    <x v="9"/>
    <n v="0"/>
    <n v="0"/>
    <n v="0.69599999999999995"/>
    <n v="0.69599999999999995"/>
    <n v="0.69599999999999995"/>
    <n v="0.69599999999999995"/>
    <n v="2"/>
    <x v="0"/>
    <n v="0"/>
    <n v="0"/>
    <n v="42"/>
    <n v="60"/>
    <n v="0"/>
    <n v="199.96"/>
    <n v="279.45"/>
    <m/>
    <n v="190.24560081519294"/>
    <n v="199.61289492903279"/>
    <n v="0"/>
    <n v="139.17215999999999"/>
    <n v="194.49719999999999"/>
    <n v="0"/>
    <n v="132.41093816737427"/>
    <n v="138.93057487060682"/>
  </r>
  <r>
    <s v="Regular"/>
    <x v="1"/>
    <x v="2"/>
    <x v="1"/>
    <x v="4"/>
    <x v="0"/>
    <x v="0"/>
    <x v="2"/>
    <x v="10"/>
    <n v="0"/>
    <n v="0"/>
    <n v="0.7"/>
    <n v="0.7"/>
    <n v="0.7"/>
    <n v="0.7"/>
    <n v="2"/>
    <x v="0"/>
    <n v="0"/>
    <n v="0"/>
    <n v="42"/>
    <n v="60"/>
    <n v="0"/>
    <n v="199.96"/>
    <n v="279.45"/>
    <m/>
    <n v="190.24560081519294"/>
    <n v="199.61289492903279"/>
    <n v="0"/>
    <n v="139.97200000000001"/>
    <n v="195.61499999999998"/>
    <n v="0"/>
    <n v="133.17192057063505"/>
    <n v="139.72902645032295"/>
  </r>
  <r>
    <s v="Regular"/>
    <x v="1"/>
    <x v="2"/>
    <x v="1"/>
    <x v="4"/>
    <x v="0"/>
    <x v="0"/>
    <x v="2"/>
    <x v="11"/>
    <n v="0"/>
    <n v="0"/>
    <n v="0.72499999999999998"/>
    <n v="0.72499999999999998"/>
    <n v="0.72499999999999998"/>
    <n v="0.72499999999999998"/>
    <n v="1"/>
    <x v="0"/>
    <n v="0"/>
    <n v="0"/>
    <n v="42"/>
    <n v="60"/>
    <n v="0"/>
    <n v="199.96"/>
    <n v="279.45"/>
    <m/>
    <n v="190.24560081519294"/>
    <n v="199.61289492903279"/>
    <n v="0"/>
    <n v="144.971"/>
    <n v="202.60124999999999"/>
    <n v="0"/>
    <n v="137.92806059101488"/>
    <n v="144.71934882354876"/>
  </r>
  <r>
    <s v="Regular"/>
    <x v="1"/>
    <x v="2"/>
    <x v="1"/>
    <x v="5"/>
    <x v="0"/>
    <x v="0"/>
    <x v="2"/>
    <x v="0"/>
    <n v="0"/>
    <n v="0"/>
    <n v="6.0000000000000001E-3"/>
    <n v="6.0000000000000001E-3"/>
    <n v="6.0000000000000001E-3"/>
    <n v="6.0000000000000001E-3"/>
    <n v="1"/>
    <x v="0"/>
    <n v="0"/>
    <n v="0"/>
    <n v="22"/>
    <n v="61"/>
    <n v="0"/>
    <n v="222.18"/>
    <n v="310.5"/>
    <m/>
    <n v="211.38400090576994"/>
    <n v="221.79210547670309"/>
    <n v="0"/>
    <n v="1.33308"/>
    <n v="1.863"/>
    <n v="0"/>
    <n v="1.2683040054346197"/>
    <n v="1.3307526328602186"/>
  </r>
  <r>
    <s v="Regular"/>
    <x v="1"/>
    <x v="2"/>
    <x v="1"/>
    <x v="5"/>
    <x v="0"/>
    <x v="0"/>
    <x v="2"/>
    <x v="3"/>
    <n v="0"/>
    <n v="0"/>
    <n v="1.2999999999999999E-2"/>
    <n v="1.2999999999999999E-2"/>
    <n v="1.2999999999999999E-2"/>
    <n v="1.2999999999999999E-2"/>
    <n v="1"/>
    <x v="0"/>
    <n v="0"/>
    <n v="0"/>
    <n v="22"/>
    <n v="61"/>
    <n v="0"/>
    <n v="222.18"/>
    <n v="310.5"/>
    <m/>
    <n v="211.38400090576994"/>
    <n v="221.79210547670309"/>
    <n v="0"/>
    <n v="2.8883399999999999"/>
    <n v="4.0365000000000002"/>
    <n v="0"/>
    <n v="2.747992011775009"/>
    <n v="2.8832973711971399"/>
  </r>
  <r>
    <s v="Regular"/>
    <x v="1"/>
    <x v="2"/>
    <x v="1"/>
    <x v="5"/>
    <x v="0"/>
    <x v="0"/>
    <x v="2"/>
    <x v="4"/>
    <n v="0"/>
    <n v="0"/>
    <n v="5.6000000000000001E-2"/>
    <n v="5.6000000000000001E-2"/>
    <n v="5.6000000000000001E-2"/>
    <n v="5.6000000000000001E-2"/>
    <n v="2"/>
    <x v="0"/>
    <n v="0"/>
    <n v="0"/>
    <n v="22"/>
    <n v="61"/>
    <n v="0"/>
    <n v="222.18"/>
    <n v="310.5"/>
    <m/>
    <n v="211.38400090576994"/>
    <n v="221.79210547670309"/>
    <n v="0"/>
    <n v="12.442080000000001"/>
    <n v="17.388000000000002"/>
    <n v="0"/>
    <n v="11.837504050723117"/>
    <n v="12.420357906695372"/>
  </r>
  <r>
    <s v="Regular"/>
    <x v="1"/>
    <x v="2"/>
    <x v="1"/>
    <x v="5"/>
    <x v="0"/>
    <x v="0"/>
    <x v="2"/>
    <x v="5"/>
    <n v="0"/>
    <n v="0"/>
    <n v="0.249"/>
    <n v="0.249"/>
    <n v="0.249"/>
    <n v="0.249"/>
    <n v="2"/>
    <x v="0"/>
    <n v="0"/>
    <n v="0"/>
    <n v="22"/>
    <n v="61"/>
    <n v="0"/>
    <n v="222.18"/>
    <n v="310.5"/>
    <m/>
    <n v="211.38400090576994"/>
    <n v="221.79210547670309"/>
    <n v="0"/>
    <n v="55.32282"/>
    <n v="77.314499999999995"/>
    <n v="0"/>
    <n v="52.634616225536718"/>
    <n v="55.22623426369907"/>
  </r>
  <r>
    <s v="Regular"/>
    <x v="1"/>
    <x v="2"/>
    <x v="1"/>
    <x v="5"/>
    <x v="0"/>
    <x v="0"/>
    <x v="2"/>
    <x v="6"/>
    <n v="0"/>
    <n v="0"/>
    <n v="0.17799999999999999"/>
    <n v="0.17799999999999999"/>
    <n v="0.17799999999999999"/>
    <n v="0.17799999999999999"/>
    <n v="4"/>
    <x v="0"/>
    <n v="0"/>
    <n v="0"/>
    <n v="22"/>
    <n v="61"/>
    <n v="0"/>
    <n v="222.18"/>
    <n v="310.5"/>
    <m/>
    <n v="211.38400090576994"/>
    <n v="221.79210547670309"/>
    <n v="0"/>
    <n v="39.54804"/>
    <n v="55.268999999999998"/>
    <n v="0"/>
    <n v="37.626352161227047"/>
    <n v="39.478994774853149"/>
  </r>
  <r>
    <s v="Regular"/>
    <x v="1"/>
    <x v="2"/>
    <x v="1"/>
    <x v="5"/>
    <x v="0"/>
    <x v="0"/>
    <x v="2"/>
    <x v="7"/>
    <n v="0"/>
    <n v="0"/>
    <n v="0.13900000000000001"/>
    <n v="0.13900000000000001"/>
    <n v="0.13900000000000001"/>
    <n v="0.13900000000000001"/>
    <n v="2"/>
    <x v="0"/>
    <n v="0"/>
    <n v="0"/>
    <n v="22"/>
    <n v="61"/>
    <n v="0"/>
    <n v="222.18"/>
    <n v="310.5"/>
    <m/>
    <n v="211.38400090576994"/>
    <n v="221.79210547670309"/>
    <n v="0"/>
    <n v="30.883020000000005"/>
    <n v="43.159500000000001"/>
    <n v="0"/>
    <n v="29.382376125902024"/>
    <n v="30.829102661261732"/>
  </r>
  <r>
    <s v="Regular"/>
    <x v="1"/>
    <x v="2"/>
    <x v="1"/>
    <x v="5"/>
    <x v="0"/>
    <x v="0"/>
    <x v="2"/>
    <x v="8"/>
    <n v="0"/>
    <n v="0"/>
    <n v="0.20200000000000001"/>
    <n v="0.20200000000000001"/>
    <n v="0.20200000000000001"/>
    <n v="0.20200000000000001"/>
    <n v="4"/>
    <x v="0"/>
    <n v="0"/>
    <n v="0"/>
    <n v="22"/>
    <n v="61"/>
    <n v="0"/>
    <n v="222.18"/>
    <n v="310.5"/>
    <m/>
    <n v="211.38400090576994"/>
    <n v="221.79210547670309"/>
    <n v="0"/>
    <n v="44.880360000000003"/>
    <n v="62.721000000000004"/>
    <n v="0"/>
    <n v="42.699568182965528"/>
    <n v="44.802005306294028"/>
  </r>
  <r>
    <s v="Regular"/>
    <x v="1"/>
    <x v="2"/>
    <x v="1"/>
    <x v="5"/>
    <x v="0"/>
    <x v="0"/>
    <x v="2"/>
    <x v="9"/>
    <n v="0"/>
    <n v="0"/>
    <n v="0.62"/>
    <n v="0.62"/>
    <n v="0.62"/>
    <n v="0.62"/>
    <n v="4"/>
    <x v="0"/>
    <n v="0"/>
    <n v="0"/>
    <n v="22"/>
    <n v="61"/>
    <n v="0"/>
    <n v="222.18"/>
    <n v="310.5"/>
    <m/>
    <n v="211.38400090576994"/>
    <n v="221.79210547670309"/>
    <n v="0"/>
    <n v="137.7516"/>
    <n v="192.51"/>
    <n v="0"/>
    <n v="131.05808056157736"/>
    <n v="137.51110539555592"/>
  </r>
  <r>
    <s v="Regular"/>
    <x v="1"/>
    <x v="2"/>
    <x v="1"/>
    <x v="5"/>
    <x v="0"/>
    <x v="0"/>
    <x v="2"/>
    <x v="10"/>
    <n v="0"/>
    <n v="0"/>
    <n v="0.21"/>
    <n v="0.21"/>
    <n v="0.21"/>
    <n v="0.21"/>
    <n v="4"/>
    <x v="0"/>
    <n v="0"/>
    <n v="0"/>
    <n v="22"/>
    <n v="61"/>
    <n v="0"/>
    <n v="222.18"/>
    <n v="310.5"/>
    <m/>
    <n v="211.38400090576994"/>
    <n v="221.79210547670309"/>
    <n v="0"/>
    <n v="46.657800000000002"/>
    <n v="65.204999999999998"/>
    <n v="0"/>
    <n v="44.390640190211684"/>
    <n v="46.576342150107649"/>
  </r>
  <r>
    <s v="Regular"/>
    <x v="1"/>
    <x v="2"/>
    <x v="1"/>
    <x v="5"/>
    <x v="0"/>
    <x v="0"/>
    <x v="2"/>
    <x v="11"/>
    <n v="0"/>
    <n v="0"/>
    <n v="0.42599999999999999"/>
    <n v="0.42599999999999999"/>
    <n v="0.42599999999999999"/>
    <n v="0.42599999999999999"/>
    <n v="6"/>
    <x v="0"/>
    <n v="0"/>
    <n v="0"/>
    <n v="22"/>
    <n v="61"/>
    <n v="0"/>
    <n v="222.18"/>
    <n v="310.5"/>
    <m/>
    <n v="211.38400090576994"/>
    <n v="221.79210547670309"/>
    <n v="0"/>
    <n v="94.648679999999999"/>
    <n v="132.273"/>
    <n v="0"/>
    <n v="90.049584385857997"/>
    <n v="94.48343693307551"/>
  </r>
  <r>
    <s v="Regular"/>
    <x v="2"/>
    <x v="2"/>
    <x v="2"/>
    <x v="6"/>
    <x v="1"/>
    <x v="0"/>
    <x v="2"/>
    <x v="0"/>
    <n v="0"/>
    <n v="0"/>
    <n v="9.4E-2"/>
    <n v="9.4E-2"/>
    <n v="9.4E-2"/>
    <n v="9.4E-2"/>
    <n v="0"/>
    <x v="0"/>
    <n v="0"/>
    <n v="0"/>
    <n v="33"/>
    <n v="64"/>
    <n v="0"/>
    <n v="267.20999999999998"/>
    <n v="273.24"/>
    <m/>
    <n v="290.15853026289835"/>
    <n v="208.48457914810089"/>
    <n v="0"/>
    <n v="25.117739999999998"/>
    <n v="25.684560000000001"/>
    <n v="0"/>
    <n v="27.274901844712446"/>
    <n v="19.597550439921484"/>
  </r>
  <r>
    <s v="Regular"/>
    <x v="2"/>
    <x v="2"/>
    <x v="2"/>
    <x v="6"/>
    <x v="1"/>
    <x v="0"/>
    <x v="2"/>
    <x v="1"/>
    <n v="0"/>
    <n v="0"/>
    <n v="0.104"/>
    <n v="0.104"/>
    <n v="0.104"/>
    <n v="0.104"/>
    <n v="0"/>
    <x v="0"/>
    <n v="0"/>
    <n v="0"/>
    <n v="33"/>
    <n v="64"/>
    <n v="0"/>
    <n v="267.20999999999998"/>
    <n v="273.24"/>
    <m/>
    <n v="290.15853026289835"/>
    <n v="208.48457914810089"/>
    <n v="0"/>
    <n v="27.789839999999998"/>
    <n v="28.41696"/>
    <n v="0"/>
    <n v="30.176487147341426"/>
    <n v="21.682396231402493"/>
  </r>
  <r>
    <s v="Regular"/>
    <x v="2"/>
    <x v="2"/>
    <x v="2"/>
    <x v="6"/>
    <x v="1"/>
    <x v="0"/>
    <x v="2"/>
    <x v="2"/>
    <n v="0"/>
    <n v="0"/>
    <n v="8.5000000000000006E-2"/>
    <n v="8.5000000000000006E-2"/>
    <n v="8.5000000000000006E-2"/>
    <n v="8.5000000000000006E-2"/>
    <n v="0"/>
    <x v="0"/>
    <n v="0"/>
    <n v="0"/>
    <n v="33"/>
    <n v="64"/>
    <n v="0"/>
    <n v="267.20999999999998"/>
    <n v="273.24"/>
    <m/>
    <n v="290.15853026289835"/>
    <n v="208.48457914810089"/>
    <n v="0"/>
    <n v="22.71285"/>
    <n v="23.225400000000004"/>
    <n v="0"/>
    <n v="24.663475072346362"/>
    <n v="17.721189227588578"/>
  </r>
  <r>
    <s v="Regular"/>
    <x v="2"/>
    <x v="2"/>
    <x v="2"/>
    <x v="6"/>
    <x v="1"/>
    <x v="0"/>
    <x v="2"/>
    <x v="3"/>
    <n v="0"/>
    <n v="0"/>
    <n v="0.1"/>
    <n v="0.1"/>
    <n v="0.1"/>
    <n v="0.1"/>
    <n v="0"/>
    <x v="0"/>
    <n v="0"/>
    <n v="0"/>
    <n v="33"/>
    <n v="64"/>
    <n v="0"/>
    <n v="267.20999999999998"/>
    <n v="273.24"/>
    <m/>
    <n v="290.15853026289835"/>
    <n v="208.48457914810089"/>
    <n v="0"/>
    <n v="26.721"/>
    <n v="27.324000000000002"/>
    <n v="0"/>
    <n v="29.015853026289836"/>
    <n v="20.848457914810091"/>
  </r>
  <r>
    <s v="Regular"/>
    <x v="2"/>
    <x v="2"/>
    <x v="2"/>
    <x v="6"/>
    <x v="1"/>
    <x v="0"/>
    <x v="2"/>
    <x v="4"/>
    <n v="0"/>
    <n v="0"/>
    <n v="0.1"/>
    <n v="0.1"/>
    <n v="0.1"/>
    <n v="0.1"/>
    <n v="0"/>
    <x v="0"/>
    <n v="0"/>
    <n v="0"/>
    <n v="33"/>
    <n v="64"/>
    <n v="0"/>
    <n v="267.20999999999998"/>
    <n v="273.24"/>
    <m/>
    <n v="290.15853026289835"/>
    <n v="208.48457914810089"/>
    <n v="0"/>
    <n v="26.721"/>
    <n v="27.324000000000002"/>
    <n v="0"/>
    <n v="29.015853026289836"/>
    <n v="20.848457914810091"/>
  </r>
  <r>
    <s v="Regular"/>
    <x v="2"/>
    <x v="2"/>
    <x v="2"/>
    <x v="6"/>
    <x v="1"/>
    <x v="0"/>
    <x v="2"/>
    <x v="5"/>
    <n v="0"/>
    <n v="0"/>
    <n v="9.5000000000000001E-2"/>
    <n v="9.5000000000000001E-2"/>
    <n v="9.5000000000000001E-2"/>
    <n v="9.5000000000000001E-2"/>
    <n v="0"/>
    <x v="0"/>
    <n v="0"/>
    <n v="0"/>
    <n v="33"/>
    <n v="64"/>
    <n v="0"/>
    <n v="267.20999999999998"/>
    <n v="273.24"/>
    <m/>
    <n v="290.15853026289835"/>
    <n v="208.48457914810089"/>
    <n v="0"/>
    <n v="25.38495"/>
    <n v="25.957800000000002"/>
    <n v="0"/>
    <n v="27.565060374975342"/>
    <n v="19.806035019069586"/>
  </r>
  <r>
    <s v="Regular"/>
    <x v="2"/>
    <x v="2"/>
    <x v="2"/>
    <x v="6"/>
    <x v="1"/>
    <x v="0"/>
    <x v="2"/>
    <x v="6"/>
    <n v="0"/>
    <n v="0"/>
    <n v="9.7000000000000003E-2"/>
    <n v="9.7000000000000003E-2"/>
    <n v="9.7000000000000003E-2"/>
    <n v="9.7000000000000003E-2"/>
    <n v="0"/>
    <x v="0"/>
    <n v="0"/>
    <n v="0"/>
    <n v="33"/>
    <n v="64"/>
    <n v="0"/>
    <n v="267.20999999999998"/>
    <n v="273.24"/>
    <m/>
    <n v="290.15853026289835"/>
    <n v="208.48457914810089"/>
    <n v="0"/>
    <n v="25.919369999999997"/>
    <n v="26.504280000000001"/>
    <n v="0"/>
    <n v="28.145377435501143"/>
    <n v="20.223004177365787"/>
  </r>
  <r>
    <s v="Regular"/>
    <x v="2"/>
    <x v="2"/>
    <x v="2"/>
    <x v="6"/>
    <x v="1"/>
    <x v="0"/>
    <x v="2"/>
    <x v="7"/>
    <n v="0"/>
    <n v="0"/>
    <n v="9.6000000000000002E-2"/>
    <n v="9.6000000000000002E-2"/>
    <n v="9.6000000000000002E-2"/>
    <n v="9.6000000000000002E-2"/>
    <n v="0"/>
    <x v="0"/>
    <n v="0"/>
    <n v="0"/>
    <n v="33"/>
    <n v="64"/>
    <n v="0"/>
    <n v="267.20999999999998"/>
    <n v="273.24"/>
    <m/>
    <n v="290.15853026289835"/>
    <n v="208.48457914810089"/>
    <n v="0"/>
    <n v="25.652159999999999"/>
    <n v="26.23104"/>
    <n v="0"/>
    <n v="27.855218905238242"/>
    <n v="20.014519598217685"/>
  </r>
  <r>
    <s v="Regular"/>
    <x v="2"/>
    <x v="2"/>
    <x v="2"/>
    <x v="6"/>
    <x v="1"/>
    <x v="0"/>
    <x v="2"/>
    <x v="8"/>
    <n v="0"/>
    <n v="0"/>
    <n v="0.1"/>
    <n v="0.1"/>
    <n v="0.1"/>
    <n v="0.1"/>
    <n v="0"/>
    <x v="0"/>
    <n v="0"/>
    <n v="0"/>
    <n v="33"/>
    <n v="64"/>
    <n v="0"/>
    <n v="267.20999999999998"/>
    <n v="273.24"/>
    <m/>
    <n v="290.15853026289835"/>
    <n v="208.48457914810089"/>
    <n v="0"/>
    <n v="26.721"/>
    <n v="27.324000000000002"/>
    <n v="0"/>
    <n v="29.015853026289836"/>
    <n v="20.848457914810091"/>
  </r>
  <r>
    <s v="Regular"/>
    <x v="2"/>
    <x v="2"/>
    <x v="2"/>
    <x v="6"/>
    <x v="2"/>
    <x v="0"/>
    <x v="2"/>
    <x v="0"/>
    <n v="0"/>
    <n v="0"/>
    <n v="6.0000000000000001E-3"/>
    <n v="2.3999999999999998E-3"/>
    <n v="6.0000000000000001E-3"/>
    <n v="2.3999999999999998E-3"/>
    <n v="0"/>
    <x v="0"/>
    <n v="0"/>
    <n v="0"/>
    <n v="26"/>
    <n v="64"/>
    <n v="0"/>
    <n v="255.06"/>
    <n v="273.24"/>
    <m/>
    <n v="290.15853026289835"/>
    <n v="208.48457914810089"/>
    <n v="0"/>
    <n v="0.61214399999999991"/>
    <n v="0.65577599999999991"/>
    <n v="0"/>
    <n v="0.69638047263095604"/>
    <n v="0.50036298995544215"/>
  </r>
  <r>
    <s v="Regular"/>
    <x v="2"/>
    <x v="2"/>
    <x v="2"/>
    <x v="6"/>
    <x v="2"/>
    <x v="0"/>
    <x v="2"/>
    <x v="1"/>
    <n v="0"/>
    <n v="0"/>
    <n v="1.4999999999999999E-2"/>
    <n v="6.0000000000000001E-3"/>
    <n v="1.4999999999999999E-2"/>
    <n v="6.0000000000000001E-3"/>
    <n v="0"/>
    <x v="0"/>
    <n v="0"/>
    <n v="0"/>
    <n v="26"/>
    <n v="64"/>
    <n v="0"/>
    <n v="255.06"/>
    <n v="273.24"/>
    <m/>
    <n v="290.15853026289835"/>
    <n v="208.48457914810089"/>
    <n v="0"/>
    <n v="1.5303599999999999"/>
    <n v="1.63944"/>
    <n v="0"/>
    <n v="1.7409511815773901"/>
    <n v="1.2509074748886053"/>
  </r>
  <r>
    <s v="Regular"/>
    <x v="2"/>
    <x v="2"/>
    <x v="2"/>
    <x v="6"/>
    <x v="2"/>
    <x v="0"/>
    <x v="2"/>
    <x v="2"/>
    <n v="0"/>
    <n v="0"/>
    <n v="1.4999999999999999E-2"/>
    <n v="6.0000000000000001E-3"/>
    <n v="1.4999999999999999E-2"/>
    <n v="6.0000000000000001E-3"/>
    <n v="0"/>
    <x v="0"/>
    <n v="0"/>
    <n v="0"/>
    <n v="26"/>
    <n v="64"/>
    <n v="0"/>
    <n v="255.06"/>
    <n v="273.24"/>
    <m/>
    <n v="290.15853026289835"/>
    <n v="208.48457914810089"/>
    <n v="0"/>
    <n v="1.5303599999999999"/>
    <n v="1.63944"/>
    <n v="0"/>
    <n v="1.7409511815773901"/>
    <n v="1.2509074748886053"/>
  </r>
  <r>
    <s v="Regular"/>
    <x v="2"/>
    <x v="2"/>
    <x v="2"/>
    <x v="6"/>
    <x v="2"/>
    <x v="0"/>
    <x v="2"/>
    <x v="5"/>
    <n v="0"/>
    <n v="0"/>
    <n v="5.0000000000000001E-3"/>
    <n v="2E-3"/>
    <n v="5.0000000000000001E-3"/>
    <n v="2E-3"/>
    <n v="0"/>
    <x v="0"/>
    <n v="0"/>
    <n v="0"/>
    <n v="26"/>
    <n v="64"/>
    <n v="0"/>
    <n v="255.06"/>
    <n v="273.24"/>
    <m/>
    <n v="290.15853026289835"/>
    <n v="208.48457914810089"/>
    <n v="0"/>
    <n v="0.51012000000000002"/>
    <n v="0.54648000000000008"/>
    <n v="0"/>
    <n v="0.58031706052579668"/>
    <n v="0.41696915829620179"/>
  </r>
  <r>
    <s v="Regular"/>
    <x v="2"/>
    <x v="2"/>
    <x v="2"/>
    <x v="6"/>
    <x v="2"/>
    <x v="0"/>
    <x v="2"/>
    <x v="6"/>
    <n v="0"/>
    <n v="0"/>
    <n v="3.0000000000000001E-3"/>
    <n v="1.1999999999999999E-3"/>
    <n v="3.0000000000000001E-3"/>
    <n v="1.1999999999999999E-3"/>
    <n v="0"/>
    <x v="0"/>
    <n v="0"/>
    <n v="0"/>
    <n v="26"/>
    <n v="64"/>
    <n v="0"/>
    <n v="255.06"/>
    <n v="273.24"/>
    <m/>
    <n v="290.15853026289835"/>
    <n v="208.48457914810089"/>
    <n v="0"/>
    <n v="0.30607199999999996"/>
    <n v="0.32788799999999996"/>
    <n v="0"/>
    <n v="0.34819023631547802"/>
    <n v="0.25018149497772108"/>
  </r>
  <r>
    <s v="Regular"/>
    <x v="2"/>
    <x v="2"/>
    <x v="2"/>
    <x v="6"/>
    <x v="2"/>
    <x v="0"/>
    <x v="2"/>
    <x v="7"/>
    <n v="0"/>
    <n v="0"/>
    <n v="4.0000000000000001E-3"/>
    <n v="1.6000000000000001E-3"/>
    <n v="4.0000000000000001E-3"/>
    <n v="1.6000000000000001E-3"/>
    <n v="0"/>
    <x v="0"/>
    <n v="0"/>
    <n v="0"/>
    <n v="26"/>
    <n v="64"/>
    <n v="0"/>
    <n v="255.06"/>
    <n v="273.24"/>
    <m/>
    <n v="290.15853026289835"/>
    <n v="208.48457914810089"/>
    <n v="0"/>
    <n v="0.40809600000000001"/>
    <n v="0.43718400000000002"/>
    <n v="0"/>
    <n v="0.46425364842063738"/>
    <n v="0.33357532663696143"/>
  </r>
  <r>
    <s v="Regular"/>
    <x v="2"/>
    <x v="2"/>
    <x v="2"/>
    <x v="0"/>
    <x v="0"/>
    <x v="0"/>
    <x v="2"/>
    <x v="0"/>
    <n v="0"/>
    <n v="0"/>
    <n v="428.94200000000001"/>
    <n v="428.94200000000001"/>
    <n v="428.94200000000001"/>
    <n v="428.94200000000001"/>
    <n v="945"/>
    <x v="0"/>
    <n v="0"/>
    <n v="0"/>
    <n v="33"/>
    <n v="64"/>
    <n v="0"/>
    <n v="267.20999999999998"/>
    <n v="273.24"/>
    <m/>
    <n v="290.15853026289835"/>
    <n v="208.48457914810089"/>
    <n v="0"/>
    <n v="114617.59181999999"/>
    <n v="117204.11208000001"/>
    <n v="0"/>
    <n v="124461.18028802815"/>
    <n v="89427.792348944698"/>
  </r>
  <r>
    <s v="Sistema de Compensação"/>
    <x v="2"/>
    <x v="2"/>
    <x v="2"/>
    <x v="0"/>
    <x v="0"/>
    <x v="0"/>
    <x v="2"/>
    <x v="0"/>
    <n v="0"/>
    <n v="0"/>
    <n v="23.366"/>
    <n v="23.366"/>
    <n v="23.366"/>
    <n v="23.366"/>
    <n v="15"/>
    <x v="0"/>
    <n v="0"/>
    <n v="0"/>
    <n v="33"/>
    <n v="64"/>
    <n v="0"/>
    <n v="267.20999999999998"/>
    <n v="273.24"/>
    <m/>
    <n v="290.15853026289835"/>
    <n v="208.48457914810089"/>
    <n v="0"/>
    <n v="6243.6288599999998"/>
    <n v="6384.5258400000002"/>
    <n v="0"/>
    <n v="6779.8442181228829"/>
    <n v="4871.4506763745258"/>
  </r>
  <r>
    <s v="Regular"/>
    <x v="2"/>
    <x v="2"/>
    <x v="2"/>
    <x v="0"/>
    <x v="0"/>
    <x v="0"/>
    <x v="2"/>
    <x v="1"/>
    <n v="0"/>
    <n v="0"/>
    <n v="443.80099999999999"/>
    <n v="443.80099999999999"/>
    <n v="443.80099999999999"/>
    <n v="443.80099999999999"/>
    <n v="949"/>
    <x v="0"/>
    <n v="0"/>
    <n v="0"/>
    <n v="33"/>
    <n v="64"/>
    <n v="0"/>
    <n v="267.20999999999998"/>
    <n v="273.24"/>
    <m/>
    <n v="290.15853026289835"/>
    <n v="208.48457914810089"/>
    <n v="0"/>
    <n v="118588.06520999999"/>
    <n v="121264.18524000001"/>
    <n v="0"/>
    <n v="128772.64588920455"/>
    <n v="92525.664710506317"/>
  </r>
  <r>
    <s v="Refaturamento - Regular"/>
    <x v="2"/>
    <x v="2"/>
    <x v="2"/>
    <x v="0"/>
    <x v="0"/>
    <x v="0"/>
    <x v="2"/>
    <x v="1"/>
    <n v="0"/>
    <n v="0"/>
    <n v="-0.745"/>
    <n v="-0.745"/>
    <n v="-0.745"/>
    <n v="-0.745"/>
    <n v="0"/>
    <x v="0"/>
    <n v="0"/>
    <n v="0"/>
    <n v="33"/>
    <n v="64"/>
    <n v="0"/>
    <n v="267.20999999999998"/>
    <n v="273.24"/>
    <m/>
    <n v="290.15853026289835"/>
    <n v="208.48457914810089"/>
    <n v="0"/>
    <n v="-199.07144999999997"/>
    <n v="-203.56380000000001"/>
    <n v="0"/>
    <n v="-216.16810504585928"/>
    <n v="-155.32101146533518"/>
  </r>
  <r>
    <s v="Sistema de Compensação"/>
    <x v="2"/>
    <x v="2"/>
    <x v="2"/>
    <x v="0"/>
    <x v="0"/>
    <x v="0"/>
    <x v="2"/>
    <x v="1"/>
    <n v="0"/>
    <n v="0"/>
    <n v="18.138999999999999"/>
    <n v="18.138999999999999"/>
    <n v="18.138999999999999"/>
    <n v="18.138999999999999"/>
    <n v="15"/>
    <x v="0"/>
    <n v="0"/>
    <n v="0"/>
    <n v="33"/>
    <n v="64"/>
    <n v="0"/>
    <n v="267.20999999999998"/>
    <n v="273.24"/>
    <m/>
    <n v="290.15853026289835"/>
    <n v="208.48457914810089"/>
    <n v="0"/>
    <n v="4846.9221899999993"/>
    <n v="4956.3003600000002"/>
    <n v="0"/>
    <n v="5263.1855804387133"/>
    <n v="3781.7017811674018"/>
  </r>
  <r>
    <s v="Regular"/>
    <x v="2"/>
    <x v="2"/>
    <x v="2"/>
    <x v="0"/>
    <x v="0"/>
    <x v="0"/>
    <x v="2"/>
    <x v="2"/>
    <n v="0"/>
    <n v="0"/>
    <n v="529.39200000000005"/>
    <n v="529.39200000000005"/>
    <n v="529.39200000000005"/>
    <n v="529.39200000000005"/>
    <n v="950"/>
    <x v="0"/>
    <n v="0"/>
    <n v="0"/>
    <n v="33"/>
    <n v="64"/>
    <n v="0"/>
    <n v="267.20999999999998"/>
    <n v="273.24"/>
    <m/>
    <n v="290.15853026289835"/>
    <n v="208.48457914810089"/>
    <n v="0"/>
    <n v="141458.83632"/>
    <n v="144651.07008"/>
    <n v="0"/>
    <n v="153607.60465293631"/>
    <n v="110370.06832437144"/>
  </r>
  <r>
    <s v="Sistema de Compensação"/>
    <x v="2"/>
    <x v="2"/>
    <x v="2"/>
    <x v="0"/>
    <x v="0"/>
    <x v="0"/>
    <x v="2"/>
    <x v="2"/>
    <n v="0"/>
    <n v="0"/>
    <n v="25.25"/>
    <n v="25.25"/>
    <n v="25.25"/>
    <n v="25.25"/>
    <n v="16"/>
    <x v="0"/>
    <n v="0"/>
    <n v="0"/>
    <n v="33"/>
    <n v="64"/>
    <n v="0"/>
    <n v="267.20999999999998"/>
    <n v="273.24"/>
    <m/>
    <n v="290.15853026289835"/>
    <n v="208.48457914810089"/>
    <n v="0"/>
    <n v="6747.0524999999998"/>
    <n v="6899.31"/>
    <n v="0"/>
    <n v="7326.5028891381835"/>
    <n v="5264.2356234895478"/>
  </r>
  <r>
    <s v="Regular"/>
    <x v="2"/>
    <x v="2"/>
    <x v="2"/>
    <x v="0"/>
    <x v="0"/>
    <x v="0"/>
    <x v="2"/>
    <x v="3"/>
    <n v="0"/>
    <n v="0"/>
    <n v="478.95499999999998"/>
    <n v="478.95499999999998"/>
    <n v="478.95499999999998"/>
    <n v="478.95499999999998"/>
    <n v="946"/>
    <x v="0"/>
    <n v="0"/>
    <n v="0"/>
    <n v="33"/>
    <n v="64"/>
    <n v="0"/>
    <n v="267.20999999999998"/>
    <n v="273.24"/>
    <m/>
    <n v="290.15853026289835"/>
    <n v="208.48457914810089"/>
    <n v="0"/>
    <n v="127981.56554999998"/>
    <n v="130869.6642"/>
    <n v="0"/>
    <n v="138972.87886206649"/>
    <n v="99854.731605878653"/>
  </r>
  <r>
    <s v="Sistema de Compensação"/>
    <x v="2"/>
    <x v="2"/>
    <x v="2"/>
    <x v="0"/>
    <x v="0"/>
    <x v="0"/>
    <x v="2"/>
    <x v="3"/>
    <n v="0"/>
    <n v="0"/>
    <n v="15.506"/>
    <n v="15.506"/>
    <n v="15.506"/>
    <n v="15.506"/>
    <n v="19"/>
    <x v="0"/>
    <n v="0"/>
    <n v="0"/>
    <n v="33"/>
    <n v="64"/>
    <n v="0"/>
    <n v="267.20999999999998"/>
    <n v="273.24"/>
    <m/>
    <n v="290.15853026289835"/>
    <n v="208.48457914810089"/>
    <n v="0"/>
    <n v="4143.35826"/>
    <n v="4236.8594400000002"/>
    <n v="0"/>
    <n v="4499.1981702565017"/>
    <n v="3232.7618842704524"/>
  </r>
  <r>
    <s v="Regular"/>
    <x v="2"/>
    <x v="2"/>
    <x v="2"/>
    <x v="0"/>
    <x v="0"/>
    <x v="0"/>
    <x v="2"/>
    <x v="4"/>
    <n v="0"/>
    <n v="0"/>
    <n v="520.29399999999998"/>
    <n v="520.29399999999998"/>
    <n v="520.29399999999998"/>
    <n v="520.29399999999998"/>
    <n v="945"/>
    <x v="0"/>
    <n v="0"/>
    <n v="0"/>
    <n v="33"/>
    <n v="64"/>
    <n v="0"/>
    <n v="267.20999999999998"/>
    <n v="273.24"/>
    <m/>
    <n v="290.15853026289835"/>
    <n v="208.48457914810089"/>
    <n v="0"/>
    <n v="139027.75973999998"/>
    <n v="142165.13256"/>
    <n v="0"/>
    <n v="150967.74234460443"/>
    <n v="108473.275623282"/>
  </r>
  <r>
    <s v="Sistema de Compensação"/>
    <x v="2"/>
    <x v="2"/>
    <x v="2"/>
    <x v="0"/>
    <x v="0"/>
    <x v="0"/>
    <x v="2"/>
    <x v="4"/>
    <n v="0"/>
    <n v="0"/>
    <n v="51.01"/>
    <n v="51.01"/>
    <n v="51.01"/>
    <n v="51.01"/>
    <n v="22"/>
    <x v="0"/>
    <n v="0"/>
    <n v="0"/>
    <n v="33"/>
    <n v="64"/>
    <n v="0"/>
    <n v="267.20999999999998"/>
    <n v="273.24"/>
    <m/>
    <n v="290.15853026289835"/>
    <n v="208.48457914810089"/>
    <n v="0"/>
    <n v="13630.382099999999"/>
    <n v="13937.972400000001"/>
    <n v="0"/>
    <n v="14800.986628710445"/>
    <n v="10634.798382344627"/>
  </r>
  <r>
    <s v="Regular"/>
    <x v="2"/>
    <x v="2"/>
    <x v="2"/>
    <x v="0"/>
    <x v="0"/>
    <x v="0"/>
    <x v="2"/>
    <x v="5"/>
    <n v="0"/>
    <n v="0"/>
    <n v="448.75400000000002"/>
    <n v="448.75400000000002"/>
    <n v="448.75400000000002"/>
    <n v="448.75400000000002"/>
    <n v="946"/>
    <x v="0"/>
    <n v="0"/>
    <n v="0"/>
    <n v="33"/>
    <n v="64"/>
    <n v="0"/>
    <n v="267.20999999999998"/>
    <n v="273.24"/>
    <m/>
    <n v="290.15853026289835"/>
    <n v="208.48457914810089"/>
    <n v="0"/>
    <n v="119911.55634"/>
    <n v="122617.54296000001"/>
    <n v="0"/>
    <n v="130209.80108959669"/>
    <n v="93558.288831026875"/>
  </r>
  <r>
    <s v="Sistema de Compensação"/>
    <x v="2"/>
    <x v="2"/>
    <x v="2"/>
    <x v="0"/>
    <x v="0"/>
    <x v="0"/>
    <x v="2"/>
    <x v="5"/>
    <n v="0"/>
    <n v="0"/>
    <n v="24.344999999999999"/>
    <n v="24.344999999999999"/>
    <n v="24.344999999999999"/>
    <n v="24.344999999999999"/>
    <n v="23"/>
    <x v="0"/>
    <n v="0"/>
    <n v="0"/>
    <n v="33"/>
    <n v="64"/>
    <n v="0"/>
    <n v="267.20999999999998"/>
    <n v="273.24"/>
    <m/>
    <n v="290.15853026289835"/>
    <n v="208.48457914810089"/>
    <n v="0"/>
    <n v="6505.2274499999994"/>
    <n v="6652.0277999999998"/>
    <n v="0"/>
    <n v="7063.9094192502598"/>
    <n v="5075.5570793605157"/>
  </r>
  <r>
    <s v="Regular"/>
    <x v="2"/>
    <x v="2"/>
    <x v="2"/>
    <x v="0"/>
    <x v="0"/>
    <x v="0"/>
    <x v="2"/>
    <x v="6"/>
    <n v="0"/>
    <n v="0"/>
    <n v="441.31900000000002"/>
    <n v="441.31900000000002"/>
    <n v="441.31900000000002"/>
    <n v="441.31900000000002"/>
    <n v="950"/>
    <x v="0"/>
    <n v="0"/>
    <n v="0"/>
    <n v="33"/>
    <n v="64"/>
    <n v="0"/>
    <n v="267.20999999999998"/>
    <n v="273.24"/>
    <m/>
    <n v="290.15853026289835"/>
    <n v="208.48457914810089"/>
    <n v="0"/>
    <n v="117924.84999"/>
    <n v="120586.00356000001"/>
    <n v="0"/>
    <n v="128052.47241709204"/>
    <n v="92008.205985060747"/>
  </r>
  <r>
    <s v="Sistema de Compensação"/>
    <x v="2"/>
    <x v="2"/>
    <x v="2"/>
    <x v="0"/>
    <x v="0"/>
    <x v="0"/>
    <x v="2"/>
    <x v="6"/>
    <n v="0"/>
    <n v="0"/>
    <n v="39.655999999999999"/>
    <n v="39.655999999999999"/>
    <n v="39.655999999999999"/>
    <n v="39.655999999999999"/>
    <n v="23"/>
    <x v="0"/>
    <n v="0"/>
    <n v="0"/>
    <n v="33"/>
    <n v="64"/>
    <n v="0"/>
    <n v="267.20999999999998"/>
    <n v="273.24"/>
    <m/>
    <n v="290.15853026289835"/>
    <n v="208.48457914810089"/>
    <n v="0"/>
    <n v="10596.479759999998"/>
    <n v="10835.605439999999"/>
    <n v="0"/>
    <n v="11506.526676105497"/>
    <n v="8267.6644706970892"/>
  </r>
  <r>
    <s v="Regular"/>
    <x v="2"/>
    <x v="2"/>
    <x v="2"/>
    <x v="0"/>
    <x v="0"/>
    <x v="0"/>
    <x v="2"/>
    <x v="7"/>
    <n v="0"/>
    <n v="0"/>
    <n v="404.09800000000001"/>
    <n v="404.09800000000001"/>
    <n v="404.09800000000001"/>
    <n v="404.09800000000001"/>
    <n v="950"/>
    <x v="0"/>
    <n v="0"/>
    <n v="0"/>
    <n v="33"/>
    <n v="64"/>
    <n v="0"/>
    <n v="267.20999999999998"/>
    <n v="273.24"/>
    <m/>
    <n v="290.15853026289835"/>
    <n v="208.48457914810089"/>
    <n v="0"/>
    <n v="107979.02657999999"/>
    <n v="110415.73752000001"/>
    <n v="0"/>
    <n v="117252.4817621767"/>
    <n v="84248.201464589278"/>
  </r>
  <r>
    <s v="Sistema de Compensação"/>
    <x v="2"/>
    <x v="2"/>
    <x v="2"/>
    <x v="0"/>
    <x v="0"/>
    <x v="0"/>
    <x v="2"/>
    <x v="7"/>
    <n v="0"/>
    <n v="0"/>
    <n v="39.155999999999999"/>
    <n v="39.155999999999999"/>
    <n v="39.155999999999999"/>
    <n v="39.155999999999999"/>
    <n v="23"/>
    <x v="0"/>
    <n v="0"/>
    <n v="0"/>
    <n v="33"/>
    <n v="64"/>
    <n v="0"/>
    <n v="267.20999999999998"/>
    <n v="273.24"/>
    <m/>
    <n v="290.15853026289835"/>
    <n v="208.48457914810089"/>
    <n v="0"/>
    <n v="10462.874759999999"/>
    <n v="10698.98544"/>
    <n v="0"/>
    <n v="11361.447410974048"/>
    <n v="8163.4221811230382"/>
  </r>
  <r>
    <s v="Regular"/>
    <x v="2"/>
    <x v="2"/>
    <x v="2"/>
    <x v="0"/>
    <x v="0"/>
    <x v="0"/>
    <x v="2"/>
    <x v="8"/>
    <n v="0"/>
    <n v="0"/>
    <n v="409.298"/>
    <n v="409.298"/>
    <n v="409.298"/>
    <n v="409.298"/>
    <n v="947"/>
    <x v="0"/>
    <n v="0"/>
    <n v="0"/>
    <n v="33"/>
    <n v="64"/>
    <n v="0"/>
    <n v="267.20999999999998"/>
    <n v="273.24"/>
    <m/>
    <n v="290.15853026289835"/>
    <n v="208.48457914810089"/>
    <n v="0"/>
    <n v="109368.51857999999"/>
    <n v="111836.58552000001"/>
    <n v="0"/>
    <n v="118761.30611954378"/>
    <n v="85332.321276159404"/>
  </r>
  <r>
    <s v="Sistema de Compensação"/>
    <x v="2"/>
    <x v="2"/>
    <x v="2"/>
    <x v="0"/>
    <x v="0"/>
    <x v="0"/>
    <x v="2"/>
    <x v="8"/>
    <n v="0"/>
    <n v="0"/>
    <n v="45.146999999999998"/>
    <n v="45.146999999999998"/>
    <n v="45.146999999999998"/>
    <n v="45.146999999999998"/>
    <n v="25"/>
    <x v="0"/>
    <n v="0"/>
    <n v="0"/>
    <n v="33"/>
    <n v="64"/>
    <n v="0"/>
    <n v="267.20999999999998"/>
    <n v="273.24"/>
    <m/>
    <n v="290.15853026289835"/>
    <n v="208.48457914810089"/>
    <n v="0"/>
    <n v="12063.729869999999"/>
    <n v="12335.966280000001"/>
    <n v="0"/>
    <n v="13099.787165779071"/>
    <n v="9412.4532947993102"/>
  </r>
  <r>
    <s v="Regular"/>
    <x v="2"/>
    <x v="2"/>
    <x v="2"/>
    <x v="0"/>
    <x v="0"/>
    <x v="0"/>
    <x v="2"/>
    <x v="9"/>
    <n v="0"/>
    <n v="0"/>
    <n v="386.99599999999998"/>
    <n v="386.99599999999998"/>
    <n v="386.99599999999998"/>
    <n v="386.99599999999998"/>
    <n v="946"/>
    <x v="0"/>
    <n v="0"/>
    <n v="0"/>
    <n v="33"/>
    <n v="64"/>
    <n v="0"/>
    <n v="267.20999999999998"/>
    <n v="273.24"/>
    <m/>
    <n v="290.15853026289835"/>
    <n v="208.48457914810089"/>
    <n v="0"/>
    <n v="103409.20115999998"/>
    <n v="105742.78704"/>
    <n v="0"/>
    <n v="112290.19057762061"/>
    <n v="80682.698191998454"/>
  </r>
  <r>
    <s v="Sistema de Compensação"/>
    <x v="2"/>
    <x v="2"/>
    <x v="2"/>
    <x v="0"/>
    <x v="0"/>
    <x v="0"/>
    <x v="2"/>
    <x v="9"/>
    <n v="0"/>
    <n v="0"/>
    <n v="49.85"/>
    <n v="49.85"/>
    <n v="49.85"/>
    <n v="49.85"/>
    <n v="27"/>
    <x v="0"/>
    <n v="0"/>
    <n v="0"/>
    <n v="33"/>
    <n v="64"/>
    <n v="0"/>
    <n v="267.20999999999998"/>
    <n v="273.24"/>
    <m/>
    <n v="290.15853026289835"/>
    <n v="208.48457914810089"/>
    <n v="0"/>
    <n v="13320.4185"/>
    <n v="13621.014000000001"/>
    <n v="0"/>
    <n v="14464.402733605484"/>
    <n v="10392.95627053283"/>
  </r>
  <r>
    <s v="Regular"/>
    <x v="2"/>
    <x v="2"/>
    <x v="2"/>
    <x v="0"/>
    <x v="0"/>
    <x v="0"/>
    <x v="2"/>
    <x v="10"/>
    <n v="0"/>
    <n v="0"/>
    <n v="380.39699999999999"/>
    <n v="380.39699999999999"/>
    <n v="380.39699999999999"/>
    <n v="380.39699999999999"/>
    <n v="939"/>
    <x v="0"/>
    <n v="0"/>
    <n v="0"/>
    <n v="33"/>
    <n v="64"/>
    <n v="0"/>
    <n v="267.20999999999998"/>
    <n v="273.24"/>
    <m/>
    <n v="290.15853026289835"/>
    <n v="208.48457914810089"/>
    <n v="0"/>
    <n v="101645.88236999999"/>
    <n v="103939.67628"/>
    <n v="0"/>
    <n v="110375.43443641574"/>
    <n v="79306.908454200136"/>
  </r>
  <r>
    <s v="Sistema de Compensação"/>
    <x v="2"/>
    <x v="2"/>
    <x v="2"/>
    <x v="0"/>
    <x v="0"/>
    <x v="0"/>
    <x v="2"/>
    <x v="10"/>
    <n v="0"/>
    <n v="0"/>
    <n v="65.037000000000006"/>
    <n v="65.037000000000006"/>
    <n v="65.037000000000006"/>
    <n v="65.037000000000006"/>
    <n v="30"/>
    <x v="0"/>
    <n v="0"/>
    <n v="0"/>
    <n v="33"/>
    <n v="64"/>
    <n v="0"/>
    <n v="267.20999999999998"/>
    <n v="273.24"/>
    <m/>
    <n v="290.15853026289835"/>
    <n v="208.48457914810089"/>
    <n v="0"/>
    <n v="17378.536769999999"/>
    <n v="17770.709880000002"/>
    <n v="0"/>
    <n v="18871.040332708122"/>
    <n v="13559.21157405504"/>
  </r>
  <r>
    <s v="Regular"/>
    <x v="2"/>
    <x v="2"/>
    <x v="2"/>
    <x v="0"/>
    <x v="0"/>
    <x v="0"/>
    <x v="2"/>
    <x v="11"/>
    <n v="0"/>
    <n v="0"/>
    <n v="433.69900000000001"/>
    <n v="433.69900000000001"/>
    <n v="433.69900000000001"/>
    <n v="433.69900000000001"/>
    <n v="939"/>
    <x v="0"/>
    <n v="0"/>
    <n v="0"/>
    <n v="33"/>
    <n v="64"/>
    <n v="0"/>
    <n v="267.20999999999998"/>
    <n v="273.24"/>
    <m/>
    <n v="290.15853026289835"/>
    <n v="208.48457914810089"/>
    <n v="0"/>
    <n v="115888.70978999999"/>
    <n v="118503.91476000001"/>
    <n v="0"/>
    <n v="125841.46441648876"/>
    <n v="90419.553491952218"/>
  </r>
  <r>
    <s v="Sistema de Compensação"/>
    <x v="2"/>
    <x v="2"/>
    <x v="2"/>
    <x v="0"/>
    <x v="0"/>
    <x v="0"/>
    <x v="2"/>
    <x v="11"/>
    <n v="0"/>
    <n v="0"/>
    <n v="30.49"/>
    <n v="30.49"/>
    <n v="30.49"/>
    <n v="30.49"/>
    <n v="32"/>
    <x v="0"/>
    <n v="0"/>
    <n v="0"/>
    <n v="33"/>
    <n v="64"/>
    <n v="0"/>
    <n v="267.20999999999998"/>
    <n v="273.24"/>
    <m/>
    <n v="290.15853026289835"/>
    <n v="208.48457914810089"/>
    <n v="0"/>
    <n v="8147.2328999999991"/>
    <n v="8331.0876000000007"/>
    <n v="0"/>
    <n v="8846.93358771577"/>
    <n v="6356.6948182255956"/>
  </r>
  <r>
    <s v="Regular"/>
    <x v="3"/>
    <x v="2"/>
    <x v="3"/>
    <x v="0"/>
    <x v="0"/>
    <x v="0"/>
    <x v="2"/>
    <x v="0"/>
    <n v="0"/>
    <n v="0"/>
    <n v="18.245999999999999"/>
    <n v="18.245999999999999"/>
    <n v="18.245999999999999"/>
    <n v="18.245999999999999"/>
    <n v="45"/>
    <x v="0"/>
    <n v="0"/>
    <n v="0"/>
    <n v="32"/>
    <n v="55"/>
    <n v="0"/>
    <n v="303.64999999999998"/>
    <n v="310.5"/>
    <m/>
    <n v="308.67928751372165"/>
    <n v="221.79210547670309"/>
    <n v="0"/>
    <n v="5540.397899999999"/>
    <n v="5665.3829999999998"/>
    <n v="0"/>
    <n v="5632.162279975365"/>
    <n v="4046.8187565279241"/>
  </r>
  <r>
    <s v="Regular"/>
    <x v="3"/>
    <x v="2"/>
    <x v="3"/>
    <x v="0"/>
    <x v="0"/>
    <x v="0"/>
    <x v="2"/>
    <x v="1"/>
    <n v="0"/>
    <n v="0"/>
    <n v="17.728000000000002"/>
    <n v="17.728000000000002"/>
    <n v="17.728000000000002"/>
    <n v="17.728000000000002"/>
    <n v="45"/>
    <x v="0"/>
    <n v="0"/>
    <n v="0"/>
    <n v="32"/>
    <n v="55"/>
    <n v="0"/>
    <n v="303.64999999999998"/>
    <n v="310.5"/>
    <m/>
    <n v="308.67928751372165"/>
    <n v="221.79210547670309"/>
    <n v="0"/>
    <n v="5383.1072000000004"/>
    <n v="5504.5440000000008"/>
    <n v="0"/>
    <n v="5472.2664090432581"/>
    <n v="3931.9304458909928"/>
  </r>
  <r>
    <s v="Regular"/>
    <x v="3"/>
    <x v="2"/>
    <x v="3"/>
    <x v="0"/>
    <x v="0"/>
    <x v="0"/>
    <x v="2"/>
    <x v="2"/>
    <n v="0"/>
    <n v="0"/>
    <n v="29.722000000000001"/>
    <n v="29.722000000000001"/>
    <n v="29.722000000000001"/>
    <n v="29.722000000000001"/>
    <n v="47"/>
    <x v="0"/>
    <n v="0"/>
    <n v="0"/>
    <n v="32"/>
    <n v="55"/>
    <n v="0"/>
    <n v="303.64999999999998"/>
    <n v="310.5"/>
    <m/>
    <n v="308.67928751372165"/>
    <n v="221.79210547670309"/>
    <n v="0"/>
    <n v="9025.0852999999988"/>
    <n v="9228.6810000000005"/>
    <n v="0"/>
    <n v="9174.5657834828344"/>
    <n v="6592.1049589785698"/>
  </r>
  <r>
    <s v="Regular"/>
    <x v="3"/>
    <x v="2"/>
    <x v="3"/>
    <x v="0"/>
    <x v="0"/>
    <x v="0"/>
    <x v="2"/>
    <x v="3"/>
    <n v="0"/>
    <n v="0"/>
    <n v="30.117000000000001"/>
    <n v="30.117000000000001"/>
    <n v="30.117000000000001"/>
    <n v="30.117000000000001"/>
    <n v="47"/>
    <x v="0"/>
    <n v="0"/>
    <n v="0"/>
    <n v="32"/>
    <n v="55"/>
    <n v="0"/>
    <n v="303.64999999999998"/>
    <n v="310.5"/>
    <m/>
    <n v="308.67928751372165"/>
    <n v="221.79210547670309"/>
    <n v="0"/>
    <n v="9145.0270499999988"/>
    <n v="9351.3284999999996"/>
    <n v="0"/>
    <n v="9296.4941020507558"/>
    <n v="6679.7128406418669"/>
  </r>
  <r>
    <s v="Regular"/>
    <x v="3"/>
    <x v="2"/>
    <x v="3"/>
    <x v="0"/>
    <x v="0"/>
    <x v="0"/>
    <x v="2"/>
    <x v="4"/>
    <n v="0"/>
    <n v="0"/>
    <n v="31.613"/>
    <n v="31.613"/>
    <n v="31.613"/>
    <n v="31.613"/>
    <n v="47"/>
    <x v="0"/>
    <n v="0"/>
    <n v="0"/>
    <n v="32"/>
    <n v="55"/>
    <n v="0"/>
    <n v="303.64999999999998"/>
    <n v="310.5"/>
    <m/>
    <n v="308.67928751372165"/>
    <n v="221.79210547670309"/>
    <n v="0"/>
    <n v="9599.2874499999998"/>
    <n v="9815.8364999999994"/>
    <n v="0"/>
    <n v="9758.2783161712814"/>
    <n v="7011.5138304350148"/>
  </r>
  <r>
    <s v="Regular"/>
    <x v="3"/>
    <x v="2"/>
    <x v="3"/>
    <x v="0"/>
    <x v="0"/>
    <x v="0"/>
    <x v="2"/>
    <x v="5"/>
    <n v="0"/>
    <n v="0"/>
    <n v="29.172000000000001"/>
    <n v="29.172000000000001"/>
    <n v="29.172000000000001"/>
    <n v="29.172000000000001"/>
    <n v="47"/>
    <x v="0"/>
    <n v="0"/>
    <n v="0"/>
    <n v="32"/>
    <n v="55"/>
    <n v="0"/>
    <n v="303.64999999999998"/>
    <n v="310.5"/>
    <m/>
    <n v="308.67928751372165"/>
    <n v="221.79210547670309"/>
    <n v="0"/>
    <n v="8858.0777999999991"/>
    <n v="9057.9060000000009"/>
    <n v="0"/>
    <n v="9004.7921753502887"/>
    <n v="6470.119300966383"/>
  </r>
  <r>
    <s v="Regular"/>
    <x v="3"/>
    <x v="2"/>
    <x v="3"/>
    <x v="0"/>
    <x v="0"/>
    <x v="0"/>
    <x v="2"/>
    <x v="6"/>
    <n v="0"/>
    <n v="0"/>
    <n v="25.01"/>
    <n v="25.01"/>
    <n v="25.01"/>
    <n v="25.01"/>
    <n v="47"/>
    <x v="0"/>
    <n v="0"/>
    <n v="0"/>
    <n v="32"/>
    <n v="55"/>
    <n v="0"/>
    <n v="303.64999999999998"/>
    <n v="310.5"/>
    <m/>
    <n v="308.67928751372165"/>
    <n v="221.79210547670309"/>
    <n v="0"/>
    <n v="7594.2865000000002"/>
    <n v="7765.6050000000005"/>
    <n v="0"/>
    <n v="7720.0689807181789"/>
    <n v="5547.0205579723442"/>
  </r>
  <r>
    <s v="Regular"/>
    <x v="3"/>
    <x v="2"/>
    <x v="3"/>
    <x v="0"/>
    <x v="0"/>
    <x v="0"/>
    <x v="2"/>
    <x v="7"/>
    <n v="0"/>
    <n v="0"/>
    <n v="22.893000000000001"/>
    <n v="22.893000000000001"/>
    <n v="22.893000000000001"/>
    <n v="22.893000000000001"/>
    <n v="47"/>
    <x v="0"/>
    <n v="0"/>
    <n v="0"/>
    <n v="32"/>
    <n v="55"/>
    <n v="0"/>
    <n v="303.64999999999998"/>
    <n v="310.5"/>
    <m/>
    <n v="308.67928751372165"/>
    <n v="221.79210547670309"/>
    <n v="0"/>
    <n v="6951.4594499999994"/>
    <n v="7108.2764999999999"/>
    <n v="0"/>
    <n v="7066.5949290516301"/>
    <n v="5077.486670678164"/>
  </r>
  <r>
    <s v="Regular"/>
    <x v="3"/>
    <x v="2"/>
    <x v="3"/>
    <x v="0"/>
    <x v="0"/>
    <x v="0"/>
    <x v="2"/>
    <x v="8"/>
    <n v="0"/>
    <n v="0"/>
    <n v="22.956"/>
    <n v="22.956"/>
    <n v="22.956"/>
    <n v="22.956"/>
    <n v="47"/>
    <x v="0"/>
    <n v="0"/>
    <n v="0"/>
    <n v="32"/>
    <n v="55"/>
    <n v="0"/>
    <n v="303.64999999999998"/>
    <n v="310.5"/>
    <m/>
    <n v="308.67928751372165"/>
    <n v="221.79210547670309"/>
    <n v="0"/>
    <n v="6970.5893999999989"/>
    <n v="7127.8379999999997"/>
    <n v="0"/>
    <n v="7086.0417241649939"/>
    <n v="5091.4595733231963"/>
  </r>
  <r>
    <s v="Regular"/>
    <x v="3"/>
    <x v="2"/>
    <x v="3"/>
    <x v="0"/>
    <x v="0"/>
    <x v="0"/>
    <x v="2"/>
    <x v="9"/>
    <n v="0"/>
    <n v="0"/>
    <n v="20.518000000000001"/>
    <n v="20.518000000000001"/>
    <n v="20.518000000000001"/>
    <n v="20.518000000000001"/>
    <n v="47"/>
    <x v="0"/>
    <n v="0"/>
    <n v="0"/>
    <n v="32"/>
    <n v="55"/>
    <n v="0"/>
    <n v="303.64999999999998"/>
    <n v="310.5"/>
    <m/>
    <n v="308.67928751372165"/>
    <n v="221.79210547670309"/>
    <n v="0"/>
    <n v="6230.2906999999996"/>
    <n v="6370.8389999999999"/>
    <n v="0"/>
    <n v="6333.4816212065407"/>
    <n v="4550.730420170994"/>
  </r>
  <r>
    <s v="Regular"/>
    <x v="3"/>
    <x v="2"/>
    <x v="3"/>
    <x v="0"/>
    <x v="0"/>
    <x v="0"/>
    <x v="2"/>
    <x v="10"/>
    <n v="0"/>
    <n v="0"/>
    <n v="19.463999999999999"/>
    <n v="19.463999999999999"/>
    <n v="19.463999999999999"/>
    <n v="19.463999999999999"/>
    <n v="49"/>
    <x v="0"/>
    <n v="0"/>
    <n v="0"/>
    <n v="32"/>
    <n v="55"/>
    <n v="0"/>
    <n v="303.64999999999998"/>
    <n v="310.5"/>
    <m/>
    <n v="308.67928751372165"/>
    <n v="221.79210547670309"/>
    <n v="0"/>
    <n v="5910.2435999999989"/>
    <n v="6043.5719999999992"/>
    <n v="0"/>
    <n v="6008.1336521670773"/>
    <n v="4316.9615409985481"/>
  </r>
  <r>
    <s v="Regular"/>
    <x v="3"/>
    <x v="2"/>
    <x v="3"/>
    <x v="0"/>
    <x v="0"/>
    <x v="0"/>
    <x v="2"/>
    <x v="11"/>
    <n v="0"/>
    <n v="0"/>
    <n v="21.457999999999998"/>
    <n v="21.457999999999998"/>
    <n v="21.457999999999998"/>
    <n v="21.457999999999998"/>
    <n v="49"/>
    <x v="0"/>
    <n v="0"/>
    <n v="0"/>
    <n v="32"/>
    <n v="55"/>
    <n v="0"/>
    <n v="303.64999999999998"/>
    <n v="310.5"/>
    <m/>
    <n v="308.67928751372165"/>
    <n v="221.79210547670309"/>
    <n v="0"/>
    <n v="6515.7216999999991"/>
    <n v="6662.7089999999998"/>
    <n v="0"/>
    <n v="6623.6401514694389"/>
    <n v="4759.2149993190942"/>
  </r>
  <r>
    <s v="Regular"/>
    <x v="3"/>
    <x v="2"/>
    <x v="0"/>
    <x v="0"/>
    <x v="0"/>
    <x v="0"/>
    <x v="2"/>
    <x v="0"/>
    <n v="0"/>
    <n v="0"/>
    <n v="0.33600000000000002"/>
    <n v="0.33600000000000002"/>
    <n v="0.33600000000000002"/>
    <n v="0.33600000000000002"/>
    <n v="2"/>
    <x v="0"/>
    <n v="0"/>
    <n v="0"/>
    <n v="32"/>
    <n v="55"/>
    <n v="0"/>
    <n v="303.64999999999998"/>
    <n v="310.5"/>
    <m/>
    <n v="308.67928751372165"/>
    <n v="221.79210547670309"/>
    <n v="0"/>
    <n v="102.0264"/>
    <n v="104.328"/>
    <n v="0"/>
    <n v="103.71624060461048"/>
    <n v="74.522147440172247"/>
  </r>
  <r>
    <s v="Regular"/>
    <x v="3"/>
    <x v="2"/>
    <x v="0"/>
    <x v="0"/>
    <x v="0"/>
    <x v="0"/>
    <x v="2"/>
    <x v="1"/>
    <n v="0"/>
    <n v="0"/>
    <n v="0.36199999999999999"/>
    <n v="0.36199999999999999"/>
    <n v="0.36199999999999999"/>
    <n v="0.36199999999999999"/>
    <n v="2"/>
    <x v="0"/>
    <n v="0"/>
    <n v="0"/>
    <n v="32"/>
    <n v="55"/>
    <n v="0"/>
    <n v="303.64999999999998"/>
    <n v="310.5"/>
    <m/>
    <n v="308.67928751372165"/>
    <n v="221.79210547670309"/>
    <n v="0"/>
    <n v="109.92129999999999"/>
    <n v="112.401"/>
    <n v="0"/>
    <n v="111.74190207996723"/>
    <n v="80.288742182566509"/>
  </r>
  <r>
    <s v="Regular"/>
    <x v="3"/>
    <x v="2"/>
    <x v="0"/>
    <x v="0"/>
    <x v="0"/>
    <x v="0"/>
    <x v="2"/>
    <x v="2"/>
    <n v="0"/>
    <n v="0"/>
    <n v="0.42"/>
    <n v="0.42"/>
    <n v="0.42"/>
    <n v="0.42"/>
    <n v="2"/>
    <x v="0"/>
    <n v="0"/>
    <n v="0"/>
    <n v="32"/>
    <n v="55"/>
    <n v="0"/>
    <n v="303.64999999999998"/>
    <n v="310.5"/>
    <m/>
    <n v="308.67928751372165"/>
    <n v="221.79210547670309"/>
    <n v="0"/>
    <n v="127.53299999999999"/>
    <n v="130.41"/>
    <n v="0"/>
    <n v="129.64530075576309"/>
    <n v="93.152684300215299"/>
  </r>
  <r>
    <s v="Regular"/>
    <x v="3"/>
    <x v="2"/>
    <x v="0"/>
    <x v="0"/>
    <x v="0"/>
    <x v="0"/>
    <x v="2"/>
    <x v="3"/>
    <n v="0"/>
    <n v="0"/>
    <n v="0.40100000000000002"/>
    <n v="0.40100000000000002"/>
    <n v="0.40100000000000002"/>
    <n v="0.40100000000000002"/>
    <n v="2"/>
    <x v="0"/>
    <n v="0"/>
    <n v="0"/>
    <n v="32"/>
    <n v="55"/>
    <n v="0"/>
    <n v="303.64999999999998"/>
    <n v="310.5"/>
    <m/>
    <n v="308.67928751372165"/>
    <n v="221.79210547670309"/>
    <n v="0"/>
    <n v="121.76365"/>
    <n v="124.51050000000001"/>
    <n v="0"/>
    <n v="123.78039429300239"/>
    <n v="88.938634296157943"/>
  </r>
  <r>
    <s v="Regular"/>
    <x v="3"/>
    <x v="2"/>
    <x v="0"/>
    <x v="0"/>
    <x v="0"/>
    <x v="0"/>
    <x v="2"/>
    <x v="4"/>
    <n v="0"/>
    <n v="0"/>
    <n v="2.3570000000000002"/>
    <n v="2.3570000000000002"/>
    <n v="2.3570000000000002"/>
    <n v="2.3570000000000002"/>
    <n v="2"/>
    <x v="0"/>
    <n v="0"/>
    <n v="0"/>
    <n v="32"/>
    <n v="55"/>
    <n v="0"/>
    <n v="303.64999999999998"/>
    <n v="310.5"/>
    <m/>
    <n v="308.67928751372165"/>
    <n v="221.79210547670309"/>
    <n v="0"/>
    <n v="715.70304999999996"/>
    <n v="731.84850000000006"/>
    <n v="0"/>
    <n v="727.55708066984198"/>
    <n v="522.76399260858921"/>
  </r>
  <r>
    <s v="Regular"/>
    <x v="3"/>
    <x v="2"/>
    <x v="0"/>
    <x v="0"/>
    <x v="0"/>
    <x v="0"/>
    <x v="2"/>
    <x v="5"/>
    <n v="0"/>
    <n v="0"/>
    <n v="1.248"/>
    <n v="1.248"/>
    <n v="1.248"/>
    <n v="1.248"/>
    <n v="2"/>
    <x v="0"/>
    <n v="0"/>
    <n v="0"/>
    <n v="32"/>
    <n v="55"/>
    <n v="0"/>
    <n v="303.64999999999998"/>
    <n v="310.5"/>
    <m/>
    <n v="308.67928751372165"/>
    <n v="221.79210547670309"/>
    <n v="0"/>
    <n v="378.95519999999999"/>
    <n v="387.50400000000002"/>
    <n v="0"/>
    <n v="385.23175081712463"/>
    <n v="276.79654763492545"/>
  </r>
  <r>
    <s v="Regular"/>
    <x v="3"/>
    <x v="2"/>
    <x v="0"/>
    <x v="0"/>
    <x v="0"/>
    <x v="0"/>
    <x v="2"/>
    <x v="6"/>
    <n v="0"/>
    <n v="0"/>
    <n v="1.302"/>
    <n v="1.302"/>
    <n v="1.302"/>
    <n v="1.302"/>
    <n v="2"/>
    <x v="0"/>
    <n v="0"/>
    <n v="0"/>
    <n v="32"/>
    <n v="55"/>
    <n v="0"/>
    <n v="303.64999999999998"/>
    <n v="310.5"/>
    <m/>
    <n v="308.67928751372165"/>
    <n v="221.79210547670309"/>
    <n v="0"/>
    <n v="395.35229999999996"/>
    <n v="404.27100000000002"/>
    <n v="0"/>
    <n v="401.9004323428656"/>
    <n v="288.77332133066744"/>
  </r>
  <r>
    <s v="Regular"/>
    <x v="3"/>
    <x v="2"/>
    <x v="0"/>
    <x v="0"/>
    <x v="0"/>
    <x v="0"/>
    <x v="2"/>
    <x v="7"/>
    <n v="0"/>
    <n v="0"/>
    <n v="1.607"/>
    <n v="1.607"/>
    <n v="1.607"/>
    <n v="1.607"/>
    <n v="2"/>
    <x v="0"/>
    <n v="0"/>
    <n v="0"/>
    <n v="32"/>
    <n v="55"/>
    <n v="0"/>
    <n v="303.64999999999998"/>
    <n v="310.5"/>
    <m/>
    <n v="308.67928751372165"/>
    <n v="221.79210547670309"/>
    <n v="0"/>
    <n v="487.96554999999995"/>
    <n v="498.9735"/>
    <n v="0"/>
    <n v="496.04761503455069"/>
    <n v="356.41991350106184"/>
  </r>
  <r>
    <s v="Regular"/>
    <x v="3"/>
    <x v="2"/>
    <x v="0"/>
    <x v="0"/>
    <x v="0"/>
    <x v="0"/>
    <x v="2"/>
    <x v="8"/>
    <n v="0"/>
    <n v="0"/>
    <n v="2.5099999999999998"/>
    <n v="2.5099999999999998"/>
    <n v="2.5099999999999998"/>
    <n v="2.5099999999999998"/>
    <n v="2"/>
    <x v="0"/>
    <n v="0"/>
    <n v="0"/>
    <n v="32"/>
    <n v="55"/>
    <n v="0"/>
    <n v="303.64999999999998"/>
    <n v="310.5"/>
    <m/>
    <n v="308.67928751372165"/>
    <n v="221.79210547670309"/>
    <n v="0"/>
    <n v="762.16149999999993"/>
    <n v="779.3549999999999"/>
    <n v="0"/>
    <n v="774.78501165944124"/>
    <n v="556.6981847465247"/>
  </r>
  <r>
    <s v="Regular"/>
    <x v="3"/>
    <x v="2"/>
    <x v="0"/>
    <x v="0"/>
    <x v="0"/>
    <x v="0"/>
    <x v="2"/>
    <x v="9"/>
    <n v="0"/>
    <n v="0"/>
    <n v="2.944"/>
    <n v="2.944"/>
    <n v="2.944"/>
    <n v="2.944"/>
    <n v="2"/>
    <x v="0"/>
    <n v="0"/>
    <n v="0"/>
    <n v="32"/>
    <n v="55"/>
    <n v="0"/>
    <n v="303.64999999999998"/>
    <n v="310.5"/>
    <m/>
    <n v="308.67928751372165"/>
    <n v="221.79210547670309"/>
    <n v="0"/>
    <n v="893.9455999999999"/>
    <n v="914.11199999999997"/>
    <n v="0"/>
    <n v="908.7518224403965"/>
    <n v="652.95595852341387"/>
  </r>
  <r>
    <s v="Regular"/>
    <x v="3"/>
    <x v="2"/>
    <x v="0"/>
    <x v="0"/>
    <x v="0"/>
    <x v="0"/>
    <x v="2"/>
    <x v="10"/>
    <n v="0"/>
    <n v="0"/>
    <n v="1.5209999999999999"/>
    <n v="1.5209999999999999"/>
    <n v="1.5209999999999999"/>
    <n v="1.5209999999999999"/>
    <n v="2"/>
    <x v="0"/>
    <n v="0"/>
    <n v="0"/>
    <n v="32"/>
    <n v="55"/>
    <n v="0"/>
    <n v="303.64999999999998"/>
    <n v="310.5"/>
    <m/>
    <n v="308.67928751372165"/>
    <n v="221.79210547670309"/>
    <n v="0"/>
    <n v="461.85164999999995"/>
    <n v="472.27049999999997"/>
    <n v="0"/>
    <n v="469.5011963083706"/>
    <n v="337.34579243006539"/>
  </r>
  <r>
    <s v="Regular"/>
    <x v="3"/>
    <x v="2"/>
    <x v="0"/>
    <x v="0"/>
    <x v="0"/>
    <x v="0"/>
    <x v="2"/>
    <x v="11"/>
    <n v="0"/>
    <n v="0"/>
    <n v="0.22600000000000001"/>
    <n v="0.22600000000000001"/>
    <n v="0.22600000000000001"/>
    <n v="0.22600000000000001"/>
    <n v="2"/>
    <x v="0"/>
    <n v="0"/>
    <n v="0"/>
    <n v="32"/>
    <n v="55"/>
    <n v="0"/>
    <n v="303.64999999999998"/>
    <n v="310.5"/>
    <m/>
    <n v="308.67928751372165"/>
    <n v="221.79210547670309"/>
    <n v="0"/>
    <n v="68.624899999999997"/>
    <n v="70.173000000000002"/>
    <n v="0"/>
    <n v="69.761518978101094"/>
    <n v="50.1250158377349"/>
  </r>
  <r>
    <s v="Regular"/>
    <x v="3"/>
    <x v="2"/>
    <x v="4"/>
    <x v="0"/>
    <x v="0"/>
    <x v="0"/>
    <x v="2"/>
    <x v="0"/>
    <n v="0"/>
    <n v="0"/>
    <n v="0.82399999999999995"/>
    <n v="0.82399999999999995"/>
    <n v="0.82399999999999995"/>
    <n v="0.82399999999999995"/>
    <n v="17"/>
    <x v="0"/>
    <n v="0"/>
    <n v="0"/>
    <n v="32"/>
    <n v="55"/>
    <n v="0"/>
    <n v="303.64999999999998"/>
    <n v="310.5"/>
    <m/>
    <n v="308.67928751372165"/>
    <n v="221.79210547670309"/>
    <n v="0"/>
    <n v="250.20759999999996"/>
    <n v="255.85199999999998"/>
    <n v="0"/>
    <n v="254.35173291130661"/>
    <n v="182.75669491280334"/>
  </r>
  <r>
    <s v="Regular"/>
    <x v="3"/>
    <x v="2"/>
    <x v="4"/>
    <x v="0"/>
    <x v="0"/>
    <x v="0"/>
    <x v="2"/>
    <x v="1"/>
    <n v="0"/>
    <n v="0"/>
    <n v="0.81100000000000005"/>
    <n v="0.81100000000000005"/>
    <n v="0.81100000000000005"/>
    <n v="0.81100000000000005"/>
    <n v="17"/>
    <x v="0"/>
    <n v="0"/>
    <n v="0"/>
    <n v="32"/>
    <n v="55"/>
    <n v="0"/>
    <n v="303.64999999999998"/>
    <n v="310.5"/>
    <m/>
    <n v="308.67928751372165"/>
    <n v="221.79210547670309"/>
    <n v="0"/>
    <n v="246.26015000000001"/>
    <n v="251.81550000000001"/>
    <n v="0"/>
    <n v="250.33890217362827"/>
    <n v="179.87339754160621"/>
  </r>
  <r>
    <s v="Regular"/>
    <x v="3"/>
    <x v="2"/>
    <x v="4"/>
    <x v="0"/>
    <x v="0"/>
    <x v="0"/>
    <x v="2"/>
    <x v="2"/>
    <n v="0"/>
    <n v="0"/>
    <n v="0.88600000000000001"/>
    <n v="0.88600000000000001"/>
    <n v="0.88600000000000001"/>
    <n v="0.88600000000000001"/>
    <n v="17"/>
    <x v="0"/>
    <n v="0"/>
    <n v="0"/>
    <n v="32"/>
    <n v="55"/>
    <n v="0"/>
    <n v="303.64999999999998"/>
    <n v="310.5"/>
    <m/>
    <n v="308.67928751372165"/>
    <n v="221.79210547670309"/>
    <n v="0"/>
    <n v="269.03389999999996"/>
    <n v="275.10300000000001"/>
    <n v="0"/>
    <n v="273.48984873715739"/>
    <n v="196.50780545235892"/>
  </r>
  <r>
    <s v="Regular"/>
    <x v="3"/>
    <x v="2"/>
    <x v="4"/>
    <x v="0"/>
    <x v="0"/>
    <x v="0"/>
    <x v="2"/>
    <x v="3"/>
    <n v="0"/>
    <n v="0"/>
    <n v="0.85299999999999998"/>
    <n v="0.85299999999999998"/>
    <n v="0.85299999999999998"/>
    <n v="0.85299999999999998"/>
    <n v="17"/>
    <x v="0"/>
    <n v="0"/>
    <n v="0"/>
    <n v="32"/>
    <n v="55"/>
    <n v="0"/>
    <n v="303.64999999999998"/>
    <n v="310.5"/>
    <m/>
    <n v="308.67928751372165"/>
    <n v="221.79210547670309"/>
    <n v="0"/>
    <n v="259.01344999999998"/>
    <n v="264.85649999999998"/>
    <n v="0"/>
    <n v="263.30343224920455"/>
    <n v="189.18866597162773"/>
  </r>
  <r>
    <s v="Regular"/>
    <x v="3"/>
    <x v="2"/>
    <x v="4"/>
    <x v="0"/>
    <x v="0"/>
    <x v="0"/>
    <x v="2"/>
    <x v="4"/>
    <n v="0"/>
    <n v="0"/>
    <n v="0.82899999999999996"/>
    <n v="0.82899999999999996"/>
    <n v="0.82899999999999996"/>
    <n v="0.82899999999999996"/>
    <n v="17"/>
    <x v="0"/>
    <n v="0"/>
    <n v="0"/>
    <n v="32"/>
    <n v="55"/>
    <n v="0"/>
    <n v="303.64999999999998"/>
    <n v="310.5"/>
    <m/>
    <n v="308.67928751372165"/>
    <n v="221.79210547670309"/>
    <n v="0"/>
    <n v="251.72584999999998"/>
    <n v="257.40449999999998"/>
    <n v="0"/>
    <n v="255.89512934887523"/>
    <n v="183.86565544018686"/>
  </r>
  <r>
    <s v="Regular"/>
    <x v="3"/>
    <x v="2"/>
    <x v="4"/>
    <x v="0"/>
    <x v="0"/>
    <x v="0"/>
    <x v="2"/>
    <x v="5"/>
    <n v="0"/>
    <n v="0"/>
    <n v="0.90100000000000002"/>
    <n v="0.90100000000000002"/>
    <n v="0.90100000000000002"/>
    <n v="0.90100000000000002"/>
    <n v="17"/>
    <x v="0"/>
    <n v="0"/>
    <n v="0"/>
    <n v="32"/>
    <n v="55"/>
    <n v="0"/>
    <n v="303.64999999999998"/>
    <n v="310.5"/>
    <m/>
    <n v="308.67928751372165"/>
    <n v="221.79210547670309"/>
    <n v="0"/>
    <n v="273.58864999999997"/>
    <n v="279.76049999999998"/>
    <n v="0"/>
    <n v="278.12003804986318"/>
    <n v="199.83468703450947"/>
  </r>
  <r>
    <s v="Regular"/>
    <x v="3"/>
    <x v="2"/>
    <x v="4"/>
    <x v="0"/>
    <x v="0"/>
    <x v="0"/>
    <x v="2"/>
    <x v="6"/>
    <n v="0"/>
    <n v="0"/>
    <n v="0.90500000000000003"/>
    <n v="0.90500000000000003"/>
    <n v="0.90500000000000003"/>
    <n v="0.90500000000000003"/>
    <n v="17"/>
    <x v="0"/>
    <n v="0"/>
    <n v="0"/>
    <n v="32"/>
    <n v="55"/>
    <n v="0"/>
    <n v="303.64999999999998"/>
    <n v="310.5"/>
    <m/>
    <n v="308.67928751372165"/>
    <n v="221.79210547670309"/>
    <n v="0"/>
    <n v="274.80324999999999"/>
    <n v="281.0025"/>
    <n v="0"/>
    <n v="279.35475519991809"/>
    <n v="200.72185545641631"/>
  </r>
  <r>
    <s v="Regular"/>
    <x v="3"/>
    <x v="2"/>
    <x v="4"/>
    <x v="0"/>
    <x v="0"/>
    <x v="0"/>
    <x v="2"/>
    <x v="7"/>
    <n v="0"/>
    <n v="0"/>
    <n v="0.84099999999999997"/>
    <n v="0.84099999999999997"/>
    <n v="0.84099999999999997"/>
    <n v="0.84099999999999997"/>
    <n v="17"/>
    <x v="0"/>
    <n v="0"/>
    <n v="0"/>
    <n v="32"/>
    <n v="55"/>
    <n v="0"/>
    <n v="303.64999999999998"/>
    <n v="310.5"/>
    <m/>
    <n v="308.67928751372165"/>
    <n v="221.79210547670309"/>
    <n v="0"/>
    <n v="255.36964999999998"/>
    <n v="261.13049999999998"/>
    <n v="0"/>
    <n v="259.59928079903989"/>
    <n v="186.52716070590728"/>
  </r>
  <r>
    <s v="Regular"/>
    <x v="3"/>
    <x v="2"/>
    <x v="4"/>
    <x v="0"/>
    <x v="0"/>
    <x v="0"/>
    <x v="2"/>
    <x v="8"/>
    <n v="0"/>
    <n v="0"/>
    <n v="0.86399999999999999"/>
    <n v="0.86399999999999999"/>
    <n v="0.86399999999999999"/>
    <n v="0.86399999999999999"/>
    <n v="17"/>
    <x v="0"/>
    <n v="0"/>
    <n v="0"/>
    <n v="32"/>
    <n v="55"/>
    <n v="0"/>
    <n v="303.64999999999998"/>
    <n v="310.5"/>
    <m/>
    <n v="308.67928751372165"/>
    <n v="221.79210547670309"/>
    <n v="0"/>
    <n v="262.35359999999997"/>
    <n v="268.27199999999999"/>
    <n v="0"/>
    <n v="266.69890441185549"/>
    <n v="191.62837913187147"/>
  </r>
  <r>
    <s v="Regular"/>
    <x v="3"/>
    <x v="2"/>
    <x v="4"/>
    <x v="0"/>
    <x v="0"/>
    <x v="0"/>
    <x v="2"/>
    <x v="9"/>
    <n v="0"/>
    <n v="0"/>
    <n v="0.751"/>
    <n v="0.751"/>
    <n v="0.751"/>
    <n v="0.751"/>
    <n v="17"/>
    <x v="0"/>
    <n v="0"/>
    <n v="0"/>
    <n v="32"/>
    <n v="55"/>
    <n v="0"/>
    <n v="303.64999999999998"/>
    <n v="310.5"/>
    <m/>
    <n v="308.67928751372165"/>
    <n v="221.79210547670309"/>
    <n v="0"/>
    <n v="228.04114999999999"/>
    <n v="233.18549999999999"/>
    <n v="0"/>
    <n v="231.81814492280495"/>
    <n v="166.56587121300402"/>
  </r>
  <r>
    <s v="Regular"/>
    <x v="3"/>
    <x v="2"/>
    <x v="4"/>
    <x v="0"/>
    <x v="0"/>
    <x v="0"/>
    <x v="2"/>
    <x v="10"/>
    <n v="0"/>
    <n v="0"/>
    <n v="0.872"/>
    <n v="0.872"/>
    <n v="0.872"/>
    <n v="0.872"/>
    <n v="17"/>
    <x v="0"/>
    <n v="0"/>
    <n v="0"/>
    <n v="32"/>
    <n v="55"/>
    <n v="0"/>
    <n v="303.64999999999998"/>
    <n v="310.5"/>
    <m/>
    <n v="308.67928751372165"/>
    <n v="221.79210547670309"/>
    <n v="0"/>
    <n v="264.78279999999995"/>
    <n v="270.75599999999997"/>
    <n v="0"/>
    <n v="269.16833871196525"/>
    <n v="193.40271597568508"/>
  </r>
  <r>
    <s v="Regular"/>
    <x v="3"/>
    <x v="2"/>
    <x v="4"/>
    <x v="0"/>
    <x v="0"/>
    <x v="0"/>
    <x v="2"/>
    <x v="11"/>
    <n v="0"/>
    <n v="0"/>
    <n v="0.86499999999999999"/>
    <n v="0.86499999999999999"/>
    <n v="0.86499999999999999"/>
    <n v="0.86499999999999999"/>
    <n v="17"/>
    <x v="0"/>
    <n v="0"/>
    <n v="0"/>
    <n v="32"/>
    <n v="55"/>
    <n v="0"/>
    <n v="303.64999999999998"/>
    <n v="310.5"/>
    <m/>
    <n v="308.67928751372165"/>
    <n v="221.79210547670309"/>
    <n v="0"/>
    <n v="262.65724999999998"/>
    <n v="268.58249999999998"/>
    <n v="0"/>
    <n v="267.00758369936921"/>
    <n v="191.85017123734818"/>
  </r>
  <r>
    <s v="Regular"/>
    <x v="3"/>
    <x v="2"/>
    <x v="5"/>
    <x v="7"/>
    <x v="0"/>
    <x v="0"/>
    <x v="2"/>
    <x v="0"/>
    <n v="0"/>
    <n v="0"/>
    <n v="0.79900000000000004"/>
    <n v="0.75105999999999995"/>
    <n v="0.79900000000000004"/>
    <n v="0.75105999999999995"/>
    <n v="2"/>
    <x v="0"/>
    <n v="0"/>
    <n v="0"/>
    <n v="32"/>
    <n v="55"/>
    <n v="0"/>
    <n v="303.64999999999998"/>
    <n v="310.5"/>
    <m/>
    <n v="308.67928751372165"/>
    <n v="221.79210547670309"/>
    <n v="0"/>
    <n v="228.05936899999998"/>
    <n v="233.20412999999999"/>
    <n v="0"/>
    <n v="231.83666568005577"/>
    <n v="166.5791787393326"/>
  </r>
  <r>
    <s v="Regular"/>
    <x v="3"/>
    <x v="2"/>
    <x v="5"/>
    <x v="7"/>
    <x v="0"/>
    <x v="0"/>
    <x v="2"/>
    <x v="1"/>
    <n v="0"/>
    <n v="0"/>
    <n v="0.68899999999999995"/>
    <n v="0.6476599999999999"/>
    <n v="0.68899999999999995"/>
    <n v="0.6476599999999999"/>
    <n v="2"/>
    <x v="0"/>
    <n v="0"/>
    <n v="0"/>
    <n v="32"/>
    <n v="55"/>
    <n v="0"/>
    <n v="303.64999999999998"/>
    <n v="310.5"/>
    <m/>
    <n v="308.67928751372165"/>
    <n v="221.79210547670309"/>
    <n v="0"/>
    <n v="196.66195899999997"/>
    <n v="201.09842999999998"/>
    <n v="0"/>
    <n v="199.91922735113693"/>
    <n v="143.64587503304151"/>
  </r>
  <r>
    <s v="Regular"/>
    <x v="3"/>
    <x v="2"/>
    <x v="5"/>
    <x v="7"/>
    <x v="0"/>
    <x v="0"/>
    <x v="2"/>
    <x v="2"/>
    <n v="0"/>
    <n v="0"/>
    <n v="0.83799999999999997"/>
    <n v="0.78771999999999998"/>
    <n v="0.83799999999999997"/>
    <n v="0.78771999999999998"/>
    <n v="2"/>
    <x v="0"/>
    <n v="0"/>
    <n v="0"/>
    <n v="32"/>
    <n v="55"/>
    <n v="0"/>
    <n v="303.64999999999998"/>
    <n v="310.5"/>
    <m/>
    <n v="308.67928751372165"/>
    <n v="221.79210547670309"/>
    <n v="0"/>
    <n v="239.19117799999998"/>
    <n v="244.58705999999998"/>
    <n v="0"/>
    <n v="243.15284836030881"/>
    <n v="174.71007732610855"/>
  </r>
  <r>
    <s v="Regular"/>
    <x v="3"/>
    <x v="2"/>
    <x v="5"/>
    <x v="7"/>
    <x v="0"/>
    <x v="0"/>
    <x v="2"/>
    <x v="3"/>
    <n v="0"/>
    <n v="0"/>
    <n v="0.78700000000000003"/>
    <n v="0.73977999999999999"/>
    <n v="0.78700000000000003"/>
    <n v="0.73977999999999999"/>
    <n v="2"/>
    <x v="0"/>
    <n v="0"/>
    <n v="0"/>
    <n v="32"/>
    <n v="55"/>
    <n v="0"/>
    <n v="303.64999999999998"/>
    <n v="310.5"/>
    <m/>
    <n v="308.67928751372165"/>
    <n v="221.79210547670309"/>
    <n v="0"/>
    <n v="224.63419699999997"/>
    <n v="229.70168999999999"/>
    <n v="0"/>
    <n v="228.354763316901"/>
    <n v="164.07736378955542"/>
  </r>
  <r>
    <s v="Regular"/>
    <x v="3"/>
    <x v="2"/>
    <x v="5"/>
    <x v="7"/>
    <x v="0"/>
    <x v="0"/>
    <x v="2"/>
    <x v="4"/>
    <n v="0"/>
    <n v="0"/>
    <n v="0.80200000000000005"/>
    <n v="0.75387999999999999"/>
    <n v="0.80200000000000005"/>
    <n v="0.75387999999999999"/>
    <n v="2"/>
    <x v="0"/>
    <n v="0"/>
    <n v="0"/>
    <n v="32"/>
    <n v="55"/>
    <n v="0"/>
    <n v="303.64999999999998"/>
    <n v="310.5"/>
    <m/>
    <n v="308.67928751372165"/>
    <n v="221.79210547670309"/>
    <n v="0"/>
    <n v="228.91566199999997"/>
    <n v="234.07973999999999"/>
    <n v="0"/>
    <n v="232.70714127084446"/>
    <n v="167.20463247677691"/>
  </r>
  <r>
    <s v="Regular"/>
    <x v="3"/>
    <x v="2"/>
    <x v="5"/>
    <x v="7"/>
    <x v="0"/>
    <x v="0"/>
    <x v="2"/>
    <x v="5"/>
    <n v="0"/>
    <n v="0"/>
    <n v="0.71099999999999997"/>
    <n v="0.66833999999999993"/>
    <n v="0.71099999999999997"/>
    <n v="0.66833999999999993"/>
    <n v="2"/>
    <x v="0"/>
    <n v="0"/>
    <n v="0"/>
    <n v="32"/>
    <n v="55"/>
    <n v="0"/>
    <n v="303.64999999999998"/>
    <n v="310.5"/>
    <m/>
    <n v="308.67928751372165"/>
    <n v="221.79210547670309"/>
    <n v="0"/>
    <n v="202.94144099999997"/>
    <n v="207.51956999999999"/>
    <n v="0"/>
    <n v="206.3027150169207"/>
    <n v="148.23253577429972"/>
  </r>
  <r>
    <s v="Regular"/>
    <x v="3"/>
    <x v="2"/>
    <x v="5"/>
    <x v="7"/>
    <x v="0"/>
    <x v="0"/>
    <x v="2"/>
    <x v="6"/>
    <n v="0"/>
    <n v="0"/>
    <n v="0.63300000000000001"/>
    <n v="0.59501999999999999"/>
    <n v="0.63300000000000001"/>
    <n v="0.59501999999999999"/>
    <n v="2"/>
    <x v="0"/>
    <n v="0"/>
    <n v="0"/>
    <n v="32"/>
    <n v="55"/>
    <n v="0"/>
    <n v="303.64999999999998"/>
    <n v="310.5"/>
    <m/>
    <n v="308.67928751372165"/>
    <n v="221.79210547670309"/>
    <n v="0"/>
    <n v="180.67782299999999"/>
    <n v="184.75370999999998"/>
    <n v="0"/>
    <n v="183.67034965641466"/>
    <n v="131.97073860074786"/>
  </r>
  <r>
    <s v="Regular"/>
    <x v="3"/>
    <x v="2"/>
    <x v="5"/>
    <x v="7"/>
    <x v="0"/>
    <x v="0"/>
    <x v="2"/>
    <x v="7"/>
    <n v="0"/>
    <n v="0"/>
    <n v="0.309"/>
    <n v="0.29046"/>
    <n v="0.309"/>
    <n v="0.29046"/>
    <n v="2"/>
    <x v="0"/>
    <n v="0"/>
    <n v="0"/>
    <n v="32"/>
    <n v="55"/>
    <n v="0"/>
    <n v="303.64999999999998"/>
    <n v="310.5"/>
    <m/>
    <n v="308.67928751372165"/>
    <n v="221.79210547670309"/>
    <n v="0"/>
    <n v="88.198178999999996"/>
    <n v="90.187830000000005"/>
    <n v="0"/>
    <n v="89.658985851235585"/>
    <n v="64.421734956763174"/>
  </r>
  <r>
    <s v="Regular"/>
    <x v="3"/>
    <x v="2"/>
    <x v="5"/>
    <x v="7"/>
    <x v="0"/>
    <x v="0"/>
    <x v="2"/>
    <x v="8"/>
    <n v="0"/>
    <n v="0"/>
    <n v="0.31900000000000001"/>
    <n v="0.29986000000000002"/>
    <n v="0.31900000000000001"/>
    <n v="0.29986000000000002"/>
    <n v="2"/>
    <x v="0"/>
    <n v="0"/>
    <n v="0"/>
    <n v="32"/>
    <n v="55"/>
    <n v="0"/>
    <n v="303.64999999999998"/>
    <n v="310.5"/>
    <m/>
    <n v="308.67928751372165"/>
    <n v="221.79210547670309"/>
    <n v="0"/>
    <n v="91.052488999999994"/>
    <n v="93.106530000000006"/>
    <n v="0"/>
    <n v="92.560571153864572"/>
    <n v="66.50658074824419"/>
  </r>
  <r>
    <s v="Regular"/>
    <x v="3"/>
    <x v="2"/>
    <x v="5"/>
    <x v="7"/>
    <x v="0"/>
    <x v="0"/>
    <x v="2"/>
    <x v="9"/>
    <n v="0"/>
    <n v="0"/>
    <n v="0.32600000000000001"/>
    <n v="0.30643999999999999"/>
    <n v="0.32600000000000001"/>
    <n v="0.30643999999999999"/>
    <n v="2"/>
    <x v="0"/>
    <n v="0"/>
    <n v="0"/>
    <n v="32"/>
    <n v="55"/>
    <n v="0"/>
    <n v="303.64999999999998"/>
    <n v="310.5"/>
    <m/>
    <n v="308.67928751372165"/>
    <n v="221.79210547670309"/>
    <n v="0"/>
    <n v="93.050505999999984"/>
    <n v="95.149619999999999"/>
    <n v="0"/>
    <n v="94.591680865704859"/>
    <n v="67.965972802280888"/>
  </r>
  <r>
    <s v="Regular"/>
    <x v="3"/>
    <x v="2"/>
    <x v="5"/>
    <x v="7"/>
    <x v="0"/>
    <x v="0"/>
    <x v="2"/>
    <x v="10"/>
    <n v="0"/>
    <n v="0"/>
    <n v="0.64200000000000002"/>
    <n v="0.60348000000000002"/>
    <n v="0.64200000000000002"/>
    <n v="0.60348000000000002"/>
    <n v="2"/>
    <x v="0"/>
    <n v="0"/>
    <n v="0"/>
    <n v="32"/>
    <n v="55"/>
    <n v="0"/>
    <n v="303.64999999999998"/>
    <n v="310.5"/>
    <m/>
    <n v="308.67928751372165"/>
    <n v="221.79210547670309"/>
    <n v="0"/>
    <n v="183.246702"/>
    <n v="187.38054"/>
    <n v="0"/>
    <n v="186.28177642878074"/>
    <n v="133.84709981308077"/>
  </r>
  <r>
    <s v="Regular"/>
    <x v="3"/>
    <x v="2"/>
    <x v="5"/>
    <x v="7"/>
    <x v="0"/>
    <x v="0"/>
    <x v="2"/>
    <x v="11"/>
    <n v="0"/>
    <n v="0"/>
    <n v="0.52200000000000002"/>
    <n v="0.49068000000000001"/>
    <n v="0.52200000000000002"/>
    <n v="0.49068000000000001"/>
    <n v="2"/>
    <x v="0"/>
    <n v="0"/>
    <n v="0"/>
    <n v="32"/>
    <n v="55"/>
    <n v="0"/>
    <n v="303.64999999999998"/>
    <n v="310.5"/>
    <m/>
    <n v="308.67928751372165"/>
    <n v="221.79210547670309"/>
    <n v="0"/>
    <n v="148.99498199999999"/>
    <n v="152.35614000000001"/>
    <n v="0"/>
    <n v="151.46275279723295"/>
    <n v="108.82895031530867"/>
  </r>
  <r>
    <s v="Regular"/>
    <x v="4"/>
    <x v="2"/>
    <x v="6"/>
    <x v="8"/>
    <x v="0"/>
    <x v="0"/>
    <x v="2"/>
    <x v="0"/>
    <n v="0"/>
    <n v="0"/>
    <n v="20.414000000000001"/>
    <n v="20.414000000000001"/>
    <n v="20.414000000000001"/>
    <n v="20.414000000000001"/>
    <n v="1"/>
    <x v="0"/>
    <n v="0"/>
    <n v="0"/>
    <n v="39"/>
    <n v="83"/>
    <n v="0"/>
    <n v="167.01"/>
    <n v="170.77"/>
    <m/>
    <n v="169.77360813254694"/>
    <n v="121.9856580121867"/>
    <n v="0"/>
    <n v="3409.3421400000002"/>
    <n v="3486.0987800000003"/>
    <n v="0"/>
    <n v="3465.7584364178133"/>
    <n v="2490.2152226607795"/>
  </r>
  <r>
    <s v="Regular"/>
    <x v="4"/>
    <x v="2"/>
    <x v="6"/>
    <x v="8"/>
    <x v="0"/>
    <x v="0"/>
    <x v="2"/>
    <x v="1"/>
    <n v="0"/>
    <n v="0"/>
    <n v="21.094000000000001"/>
    <n v="21.094000000000001"/>
    <n v="21.094000000000001"/>
    <n v="21.094000000000001"/>
    <n v="1"/>
    <x v="0"/>
    <n v="0"/>
    <n v="0"/>
    <n v="39"/>
    <n v="83"/>
    <n v="0"/>
    <n v="167.01"/>
    <n v="170.77"/>
    <m/>
    <n v="169.77360813254694"/>
    <n v="121.9856580121867"/>
    <n v="0"/>
    <n v="3522.9089399999998"/>
    <n v="3602.2223800000006"/>
    <n v="0"/>
    <n v="3581.2044899479451"/>
    <n v="2573.1654701090665"/>
  </r>
  <r>
    <s v="Regular"/>
    <x v="4"/>
    <x v="2"/>
    <x v="6"/>
    <x v="8"/>
    <x v="0"/>
    <x v="0"/>
    <x v="2"/>
    <x v="2"/>
    <n v="0"/>
    <n v="0"/>
    <n v="20.414000000000001"/>
    <n v="20.414000000000001"/>
    <n v="20.414000000000001"/>
    <n v="20.414000000000001"/>
    <n v="1"/>
    <x v="0"/>
    <n v="0"/>
    <n v="0"/>
    <n v="39"/>
    <n v="83"/>
    <n v="0"/>
    <n v="167.01"/>
    <n v="170.77"/>
    <m/>
    <n v="169.77360813254694"/>
    <n v="121.9856580121867"/>
    <n v="0"/>
    <n v="3409.3421400000002"/>
    <n v="3486.0987800000003"/>
    <n v="0"/>
    <n v="3465.7584364178133"/>
    <n v="2490.2152226607795"/>
  </r>
  <r>
    <s v="Regular"/>
    <x v="4"/>
    <x v="2"/>
    <x v="6"/>
    <x v="8"/>
    <x v="0"/>
    <x v="0"/>
    <x v="2"/>
    <x v="3"/>
    <n v="0"/>
    <n v="0"/>
    <n v="21.094000000000001"/>
    <n v="21.094000000000001"/>
    <n v="21.094000000000001"/>
    <n v="21.094000000000001"/>
    <n v="1"/>
    <x v="0"/>
    <n v="0"/>
    <n v="0"/>
    <n v="39"/>
    <n v="83"/>
    <n v="0"/>
    <n v="167.01"/>
    <n v="170.77"/>
    <m/>
    <n v="169.77360813254694"/>
    <n v="121.9856580121867"/>
    <n v="0"/>
    <n v="3522.9089399999998"/>
    <n v="3602.2223800000006"/>
    <n v="0"/>
    <n v="3581.2044899479451"/>
    <n v="2573.1654701090665"/>
  </r>
  <r>
    <s v="Regular"/>
    <x v="4"/>
    <x v="2"/>
    <x v="6"/>
    <x v="8"/>
    <x v="0"/>
    <x v="0"/>
    <x v="2"/>
    <x v="4"/>
    <n v="0"/>
    <n v="0"/>
    <n v="21.123999999999999"/>
    <n v="21.123999999999999"/>
    <n v="21.123999999999999"/>
    <n v="21.123999999999999"/>
    <n v="1"/>
    <x v="0"/>
    <n v="0"/>
    <n v="0"/>
    <n v="39"/>
    <n v="83"/>
    <n v="0"/>
    <n v="167.01"/>
    <n v="170.77"/>
    <m/>
    <n v="169.77360813254694"/>
    <n v="121.9856580121867"/>
    <n v="0"/>
    <n v="3527.9192399999997"/>
    <n v="3607.34548"/>
    <n v="0"/>
    <n v="3586.2976981919214"/>
    <n v="2576.825039849432"/>
  </r>
  <r>
    <s v="Regular"/>
    <x v="4"/>
    <x v="2"/>
    <x v="6"/>
    <x v="8"/>
    <x v="0"/>
    <x v="0"/>
    <x v="2"/>
    <x v="5"/>
    <n v="0"/>
    <n v="0"/>
    <n v="19.079999999999998"/>
    <n v="19.079999999999998"/>
    <n v="19.079999999999998"/>
    <n v="19.079999999999998"/>
    <n v="1"/>
    <x v="0"/>
    <n v="0"/>
    <n v="0"/>
    <n v="39"/>
    <n v="83"/>
    <n v="0"/>
    <n v="167.01"/>
    <n v="170.77"/>
    <m/>
    <n v="169.77360813254694"/>
    <n v="121.9856580121867"/>
    <n v="0"/>
    <n v="3186.5507999999995"/>
    <n v="3258.2916"/>
    <n v="0"/>
    <n v="3239.2804431689951"/>
    <n v="2327.486354872522"/>
  </r>
  <r>
    <s v="Regular"/>
    <x v="4"/>
    <x v="2"/>
    <x v="6"/>
    <x v="8"/>
    <x v="0"/>
    <x v="0"/>
    <x v="2"/>
    <x v="6"/>
    <n v="0"/>
    <n v="0"/>
    <n v="21.184000000000001"/>
    <n v="21.184000000000001"/>
    <n v="21.184000000000001"/>
    <n v="21.184000000000001"/>
    <n v="1"/>
    <x v="0"/>
    <n v="0"/>
    <n v="0"/>
    <n v="39"/>
    <n v="83"/>
    <n v="0"/>
    <n v="167.01"/>
    <n v="170.77"/>
    <m/>
    <n v="169.77360813254694"/>
    <n v="121.9856580121867"/>
    <n v="0"/>
    <n v="3537.93984"/>
    <n v="3617.5916800000005"/>
    <n v="0"/>
    <n v="3596.4841146798744"/>
    <n v="2584.1441793301633"/>
  </r>
  <r>
    <s v="Regular"/>
    <x v="4"/>
    <x v="2"/>
    <x v="6"/>
    <x v="8"/>
    <x v="0"/>
    <x v="0"/>
    <x v="2"/>
    <x v="7"/>
    <n v="0"/>
    <n v="0"/>
    <n v="20.5"/>
    <n v="20.5"/>
    <n v="20.5"/>
    <n v="20.5"/>
    <n v="1"/>
    <x v="0"/>
    <n v="0"/>
    <n v="0"/>
    <n v="39"/>
    <n v="83"/>
    <n v="0"/>
    <n v="167.01"/>
    <n v="170.77"/>
    <m/>
    <n v="169.77360813254694"/>
    <n v="121.9856580121867"/>
    <n v="0"/>
    <n v="3423.7049999999999"/>
    <n v="3500.7850000000003"/>
    <n v="0"/>
    <n v="3480.3589667172123"/>
    <n v="2500.7059892498273"/>
  </r>
  <r>
    <s v="Regular"/>
    <x v="4"/>
    <x v="2"/>
    <x v="6"/>
    <x v="8"/>
    <x v="0"/>
    <x v="0"/>
    <x v="2"/>
    <x v="8"/>
    <n v="0"/>
    <n v="0"/>
    <n v="21.184000000000001"/>
    <n v="21.184000000000001"/>
    <n v="21.184000000000001"/>
    <n v="21.184000000000001"/>
    <n v="1"/>
    <x v="0"/>
    <n v="0"/>
    <n v="0"/>
    <n v="39"/>
    <n v="83"/>
    <n v="0"/>
    <n v="167.01"/>
    <n v="170.77"/>
    <m/>
    <n v="169.77360813254694"/>
    <n v="121.9856580121867"/>
    <n v="0"/>
    <n v="3537.93984"/>
    <n v="3617.5916800000005"/>
    <n v="0"/>
    <n v="3596.4841146798744"/>
    <n v="2584.1441793301633"/>
  </r>
  <r>
    <s v="Regular"/>
    <x v="4"/>
    <x v="2"/>
    <x v="6"/>
    <x v="8"/>
    <x v="0"/>
    <x v="0"/>
    <x v="2"/>
    <x v="9"/>
    <n v="0"/>
    <n v="0"/>
    <n v="20.5"/>
    <n v="20.5"/>
    <n v="20.5"/>
    <n v="20.5"/>
    <n v="1"/>
    <x v="0"/>
    <n v="0"/>
    <n v="0"/>
    <n v="39"/>
    <n v="83"/>
    <n v="0"/>
    <n v="167.01"/>
    <n v="170.77"/>
    <m/>
    <n v="169.77360813254694"/>
    <n v="121.9856580121867"/>
    <n v="0"/>
    <n v="3423.7049999999999"/>
    <n v="3500.7850000000003"/>
    <n v="0"/>
    <n v="3480.3589667172123"/>
    <n v="2500.7059892498273"/>
  </r>
  <r>
    <s v="Regular"/>
    <x v="4"/>
    <x v="2"/>
    <x v="6"/>
    <x v="8"/>
    <x v="0"/>
    <x v="0"/>
    <x v="2"/>
    <x v="10"/>
    <n v="0"/>
    <n v="0"/>
    <n v="21.538"/>
    <n v="21.538"/>
    <n v="21.538"/>
    <n v="21.538"/>
    <n v="1"/>
    <x v="0"/>
    <n v="0"/>
    <n v="0"/>
    <n v="39"/>
    <n v="83"/>
    <n v="0"/>
    <n v="167.01"/>
    <n v="170.77"/>
    <m/>
    <n v="169.77360813254694"/>
    <n v="121.9856580121867"/>
    <n v="0"/>
    <n v="3597.0613799999996"/>
    <n v="3678.0442600000001"/>
    <n v="0"/>
    <n v="3656.5839719587962"/>
    <n v="2627.3271022664771"/>
  </r>
  <r>
    <s v="Regular"/>
    <x v="4"/>
    <x v="2"/>
    <x v="6"/>
    <x v="8"/>
    <x v="0"/>
    <x v="0"/>
    <x v="2"/>
    <x v="11"/>
    <n v="0"/>
    <n v="0"/>
    <n v="21.538"/>
    <n v="21.538"/>
    <n v="21.538"/>
    <n v="21.538"/>
    <n v="1"/>
    <x v="0"/>
    <n v="0"/>
    <n v="0"/>
    <n v="39"/>
    <n v="83"/>
    <n v="0"/>
    <n v="167.01"/>
    <n v="170.77"/>
    <m/>
    <n v="169.77360813254694"/>
    <n v="121.9856580121867"/>
    <n v="0"/>
    <n v="3597.0613799999996"/>
    <n v="3678.0442600000001"/>
    <n v="0"/>
    <n v="3656.5839719587962"/>
    <n v="2627.32710226647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Regular"/>
    <x v="0"/>
    <x v="0"/>
    <x v="0"/>
    <x v="0"/>
    <x v="0"/>
    <x v="0"/>
    <x v="0"/>
    <x v="0"/>
    <n v="0"/>
    <n v="0"/>
    <n v="38.773000000000003"/>
    <n v="38.773000000000003"/>
    <n v="38.773000000000003"/>
    <n v="38.773000000000003"/>
    <n v="263"/>
    <s v="CATIVO"/>
    <n v="0"/>
    <n v="0"/>
    <n v="20"/>
    <n v="37"/>
    <n v="0"/>
    <n v="303.64999999999998"/>
    <n v="310.5"/>
    <m/>
    <n v="308.67928751372165"/>
    <n v="221.79210547670309"/>
    <n v="0"/>
    <n v="0"/>
    <n v="0"/>
    <n v="0"/>
    <x v="0"/>
  </r>
  <r>
    <s v="Regular"/>
    <x v="0"/>
    <x v="0"/>
    <x v="0"/>
    <x v="1"/>
    <x v="0"/>
    <x v="0"/>
    <x v="0"/>
    <x v="0"/>
    <n v="0"/>
    <n v="0"/>
    <n v="0.06"/>
    <n v="0.06"/>
    <n v="0.06"/>
    <n v="0.06"/>
    <n v="0"/>
    <s v="CATIVO"/>
    <n v="0"/>
    <n v="0"/>
    <n v="16"/>
    <n v="45"/>
    <n v="0"/>
    <n v="77.760000000000005"/>
    <n v="108.67"/>
    <m/>
    <n v="73.984400317019478"/>
    <n v="77.627236916846073"/>
    <n v="0"/>
    <n v="20.775000000000002"/>
    <n v="0"/>
    <n v="16.893868148916447"/>
    <x v="1"/>
  </r>
  <r>
    <s v="Regular"/>
    <x v="0"/>
    <x v="0"/>
    <x v="0"/>
    <x v="1"/>
    <x v="0"/>
    <x v="0"/>
    <x v="0"/>
    <x v="1"/>
    <n v="0"/>
    <n v="0"/>
    <n v="0.06"/>
    <n v="0.06"/>
    <n v="0.06"/>
    <n v="0.06"/>
    <n v="0"/>
    <s v="CATIVO"/>
    <n v="0"/>
    <n v="0"/>
    <n v="16"/>
    <n v="45"/>
    <n v="0"/>
    <n v="77.760000000000005"/>
    <n v="108.67"/>
    <m/>
    <n v="73.984400317019478"/>
    <n v="77.627236916846073"/>
    <n v="0"/>
    <n v="20.775000000000002"/>
    <n v="0"/>
    <n v="16.893868148916447"/>
    <x v="1"/>
  </r>
  <r>
    <s v="Regular"/>
    <x v="0"/>
    <x v="0"/>
    <x v="0"/>
    <x v="1"/>
    <x v="0"/>
    <x v="0"/>
    <x v="0"/>
    <x v="2"/>
    <n v="0"/>
    <n v="0"/>
    <n v="0.09"/>
    <n v="0.09"/>
    <n v="0.09"/>
    <n v="0.09"/>
    <n v="0"/>
    <s v="CATIVO"/>
    <n v="0"/>
    <n v="0"/>
    <n v="16"/>
    <n v="45"/>
    <n v="0"/>
    <n v="77.760000000000005"/>
    <n v="108.67"/>
    <m/>
    <n v="73.984400317019478"/>
    <n v="77.627236916846073"/>
    <n v="0"/>
    <n v="31.162500000000005"/>
    <n v="0"/>
    <n v="25.340802223374666"/>
    <x v="1"/>
  </r>
  <r>
    <s v="Regular"/>
    <x v="0"/>
    <x v="0"/>
    <x v="0"/>
    <x v="1"/>
    <x v="0"/>
    <x v="0"/>
    <x v="0"/>
    <x v="3"/>
    <n v="0"/>
    <n v="0"/>
    <n v="0.09"/>
    <n v="0.09"/>
    <n v="0.09"/>
    <n v="0.09"/>
    <n v="0"/>
    <s v="CATIVO"/>
    <n v="0"/>
    <n v="0"/>
    <n v="16"/>
    <n v="45"/>
    <n v="0"/>
    <n v="77.760000000000005"/>
    <n v="108.67"/>
    <m/>
    <n v="73.984400317019478"/>
    <n v="77.627236916846073"/>
    <n v="0"/>
    <n v="31.162500000000005"/>
    <n v="0"/>
    <n v="25.340802223374666"/>
    <x v="1"/>
  </r>
  <r>
    <s v="Regular"/>
    <x v="0"/>
    <x v="0"/>
    <x v="0"/>
    <x v="1"/>
    <x v="0"/>
    <x v="0"/>
    <x v="0"/>
    <x v="4"/>
    <n v="0"/>
    <n v="0"/>
    <n v="0.09"/>
    <n v="0.09"/>
    <n v="0.09"/>
    <n v="0.09"/>
    <n v="0"/>
    <s v="CATIVO"/>
    <n v="0"/>
    <n v="0"/>
    <n v="16"/>
    <n v="45"/>
    <n v="0"/>
    <n v="77.760000000000005"/>
    <n v="108.67"/>
    <m/>
    <n v="73.984400317019478"/>
    <n v="77.627236916846073"/>
    <n v="0"/>
    <n v="31.162500000000005"/>
    <n v="0"/>
    <n v="25.340802223374666"/>
    <x v="1"/>
  </r>
  <r>
    <s v="Regular"/>
    <x v="0"/>
    <x v="0"/>
    <x v="0"/>
    <x v="1"/>
    <x v="0"/>
    <x v="0"/>
    <x v="0"/>
    <x v="5"/>
    <n v="0"/>
    <n v="0"/>
    <n v="0.18"/>
    <n v="0.18"/>
    <n v="0.18"/>
    <n v="0.18"/>
    <n v="0"/>
    <s v="CATIVO"/>
    <n v="0"/>
    <n v="0"/>
    <n v="16"/>
    <n v="45"/>
    <n v="0"/>
    <n v="77.760000000000005"/>
    <n v="108.67"/>
    <m/>
    <n v="73.984400317019478"/>
    <n v="77.627236916846073"/>
    <n v="0"/>
    <n v="62.32500000000001"/>
    <n v="0"/>
    <n v="50.681604446749333"/>
    <x v="1"/>
  </r>
  <r>
    <s v="Regular"/>
    <x v="0"/>
    <x v="0"/>
    <x v="0"/>
    <x v="1"/>
    <x v="0"/>
    <x v="0"/>
    <x v="0"/>
    <x v="6"/>
    <n v="0"/>
    <n v="0"/>
    <n v="0.3"/>
    <n v="0.3"/>
    <n v="0.3"/>
    <n v="0.3"/>
    <n v="1"/>
    <s v="CATIVO"/>
    <n v="0"/>
    <n v="0"/>
    <n v="16"/>
    <n v="45"/>
    <n v="0"/>
    <n v="77.760000000000005"/>
    <n v="108.67"/>
    <m/>
    <n v="73.984400317019478"/>
    <n v="77.627236916846073"/>
    <n v="0"/>
    <n v="103.87500000000001"/>
    <n v="0"/>
    <n v="84.469340744582226"/>
    <x v="1"/>
  </r>
  <r>
    <s v="Regular"/>
    <x v="0"/>
    <x v="0"/>
    <x v="0"/>
    <x v="1"/>
    <x v="0"/>
    <x v="0"/>
    <x v="0"/>
    <x v="7"/>
    <n v="0"/>
    <n v="0"/>
    <n v="0.3"/>
    <n v="0.3"/>
    <n v="0.3"/>
    <n v="0.3"/>
    <n v="2"/>
    <s v="CATIVO"/>
    <n v="0"/>
    <n v="0"/>
    <n v="16"/>
    <n v="45"/>
    <n v="0"/>
    <n v="77.760000000000005"/>
    <n v="108.67"/>
    <m/>
    <n v="73.984400317019478"/>
    <n v="77.627236916846073"/>
    <n v="0"/>
    <n v="103.87500000000001"/>
    <n v="0"/>
    <n v="84.469340744582226"/>
    <x v="1"/>
  </r>
  <r>
    <s v="Regular"/>
    <x v="0"/>
    <x v="0"/>
    <x v="0"/>
    <x v="1"/>
    <x v="0"/>
    <x v="0"/>
    <x v="0"/>
    <x v="8"/>
    <n v="0"/>
    <n v="0"/>
    <n v="0.3"/>
    <n v="0.3"/>
    <n v="0.3"/>
    <n v="0.3"/>
    <n v="2"/>
    <s v="CATIVO"/>
    <n v="0"/>
    <n v="0"/>
    <n v="16"/>
    <n v="45"/>
    <n v="0"/>
    <n v="77.760000000000005"/>
    <n v="108.67"/>
    <m/>
    <n v="73.984400317019478"/>
    <n v="77.627236916846073"/>
    <n v="0"/>
    <n v="103.87500000000001"/>
    <n v="0"/>
    <n v="84.469340744582226"/>
    <x v="1"/>
  </r>
  <r>
    <s v="Regular"/>
    <x v="0"/>
    <x v="0"/>
    <x v="0"/>
    <x v="1"/>
    <x v="0"/>
    <x v="0"/>
    <x v="0"/>
    <x v="9"/>
    <n v="0"/>
    <n v="0"/>
    <n v="0.3"/>
    <n v="0.3"/>
    <n v="0.3"/>
    <n v="0.3"/>
    <n v="2"/>
    <s v="CATIVO"/>
    <n v="0"/>
    <n v="0"/>
    <n v="16"/>
    <n v="45"/>
    <n v="0"/>
    <n v="77.760000000000005"/>
    <n v="108.67"/>
    <m/>
    <n v="73.984400317019478"/>
    <n v="77.627236916846073"/>
    <n v="0"/>
    <n v="103.87500000000001"/>
    <n v="0"/>
    <n v="84.469340744582226"/>
    <x v="1"/>
  </r>
  <r>
    <s v="Regular"/>
    <x v="0"/>
    <x v="0"/>
    <x v="0"/>
    <x v="1"/>
    <x v="0"/>
    <x v="0"/>
    <x v="0"/>
    <x v="10"/>
    <n v="0"/>
    <n v="0"/>
    <n v="0.3"/>
    <n v="0.3"/>
    <n v="0.3"/>
    <n v="0.3"/>
    <n v="2"/>
    <s v="CATIVO"/>
    <n v="0"/>
    <n v="0"/>
    <n v="16"/>
    <n v="45"/>
    <n v="0"/>
    <n v="77.760000000000005"/>
    <n v="108.67"/>
    <m/>
    <n v="73.984400317019478"/>
    <n v="77.627236916846073"/>
    <n v="0"/>
    <n v="103.87500000000001"/>
    <n v="0"/>
    <n v="84.469340744582226"/>
    <x v="1"/>
  </r>
  <r>
    <s v="Regular"/>
    <x v="0"/>
    <x v="0"/>
    <x v="0"/>
    <x v="1"/>
    <x v="0"/>
    <x v="0"/>
    <x v="0"/>
    <x v="11"/>
    <n v="0"/>
    <n v="0"/>
    <n v="0.3"/>
    <n v="0.3"/>
    <n v="0.3"/>
    <n v="0.3"/>
    <n v="2"/>
    <s v="CATIVO"/>
    <n v="0"/>
    <n v="0"/>
    <n v="16"/>
    <n v="45"/>
    <n v="0"/>
    <n v="77.760000000000005"/>
    <n v="108.67"/>
    <m/>
    <n v="73.984400317019478"/>
    <n v="77.627236916846073"/>
    <n v="0"/>
    <n v="103.87500000000001"/>
    <n v="0"/>
    <n v="84.469340744582226"/>
    <x v="1"/>
  </r>
  <r>
    <s v="Regular"/>
    <x v="0"/>
    <x v="0"/>
    <x v="0"/>
    <x v="2"/>
    <x v="0"/>
    <x v="0"/>
    <x v="0"/>
    <x v="0"/>
    <n v="0"/>
    <n v="0"/>
    <n v="0.13200000000000001"/>
    <n v="0.13200000000000001"/>
    <n v="0.13200000000000001"/>
    <n v="0.13200000000000001"/>
    <n v="1"/>
    <s v="CATIVO"/>
    <n v="0"/>
    <n v="0"/>
    <n v="10"/>
    <n v="56"/>
    <n v="0"/>
    <n v="133.31"/>
    <n v="186.3"/>
    <m/>
    <n v="126.83040054346196"/>
    <n v="133.07526328602185"/>
    <n v="0"/>
    <n v="28.125240000000009"/>
    <n v="0"/>
    <n v="22.871698416994573"/>
    <x v="1"/>
  </r>
  <r>
    <s v="Regular"/>
    <x v="0"/>
    <x v="0"/>
    <x v="0"/>
    <x v="2"/>
    <x v="0"/>
    <x v="0"/>
    <x v="0"/>
    <x v="1"/>
    <n v="0"/>
    <n v="0"/>
    <n v="0.13300000000000001"/>
    <n v="0.13300000000000001"/>
    <n v="0.13300000000000001"/>
    <n v="0.13300000000000001"/>
    <n v="1"/>
    <s v="CATIVO"/>
    <n v="0"/>
    <n v="0"/>
    <n v="10"/>
    <n v="56"/>
    <n v="0"/>
    <n v="133.31"/>
    <n v="186.3"/>
    <m/>
    <n v="126.83040054346196"/>
    <n v="133.07526328602185"/>
    <n v="0"/>
    <n v="28.338310000000007"/>
    <n v="0"/>
    <n v="23.044968859547563"/>
    <x v="1"/>
  </r>
  <r>
    <s v="Regular"/>
    <x v="0"/>
    <x v="0"/>
    <x v="0"/>
    <x v="2"/>
    <x v="0"/>
    <x v="0"/>
    <x v="0"/>
    <x v="2"/>
    <n v="0"/>
    <n v="0"/>
    <n v="0.21"/>
    <n v="0.21"/>
    <n v="0.21"/>
    <n v="0.21"/>
    <n v="0"/>
    <s v="CATIVO"/>
    <n v="0"/>
    <n v="0"/>
    <n v="10"/>
    <n v="56"/>
    <n v="0"/>
    <n v="133.31"/>
    <n v="186.3"/>
    <m/>
    <n v="126.83040054346196"/>
    <n v="133.07526328602185"/>
    <n v="0"/>
    <n v="44.744700000000009"/>
    <n v="0"/>
    <n v="36.386792936127726"/>
    <x v="1"/>
  </r>
  <r>
    <s v="Regular"/>
    <x v="0"/>
    <x v="0"/>
    <x v="0"/>
    <x v="2"/>
    <x v="0"/>
    <x v="0"/>
    <x v="0"/>
    <x v="3"/>
    <n v="0"/>
    <n v="0"/>
    <n v="0.21"/>
    <n v="0.21"/>
    <n v="0.21"/>
    <n v="0.21"/>
    <n v="0"/>
    <s v="CATIVO"/>
    <n v="0"/>
    <n v="0"/>
    <n v="10"/>
    <n v="56"/>
    <n v="0"/>
    <n v="133.31"/>
    <n v="186.3"/>
    <m/>
    <n v="126.83040054346196"/>
    <n v="133.07526328602185"/>
    <n v="0"/>
    <n v="44.744700000000009"/>
    <n v="0"/>
    <n v="36.386792936127726"/>
    <x v="1"/>
  </r>
  <r>
    <s v="Regular"/>
    <x v="0"/>
    <x v="0"/>
    <x v="0"/>
    <x v="2"/>
    <x v="0"/>
    <x v="0"/>
    <x v="0"/>
    <x v="4"/>
    <n v="0"/>
    <n v="0"/>
    <n v="0.21"/>
    <n v="0.21"/>
    <n v="0.21"/>
    <n v="0.21"/>
    <n v="0"/>
    <s v="CATIVO"/>
    <n v="0"/>
    <n v="0"/>
    <n v="10"/>
    <n v="56"/>
    <n v="0"/>
    <n v="133.31"/>
    <n v="186.3"/>
    <m/>
    <n v="126.83040054346196"/>
    <n v="133.07526328602185"/>
    <n v="0"/>
    <n v="44.744700000000009"/>
    <n v="0"/>
    <n v="36.386792936127726"/>
    <x v="1"/>
  </r>
  <r>
    <s v="Regular"/>
    <x v="0"/>
    <x v="0"/>
    <x v="0"/>
    <x v="2"/>
    <x v="0"/>
    <x v="0"/>
    <x v="0"/>
    <x v="5"/>
    <n v="0"/>
    <n v="0"/>
    <n v="0.42"/>
    <n v="0.42"/>
    <n v="0.42"/>
    <n v="0.42"/>
    <n v="0"/>
    <s v="CATIVO"/>
    <n v="0"/>
    <n v="0"/>
    <n v="10"/>
    <n v="56"/>
    <n v="0"/>
    <n v="133.31"/>
    <n v="186.3"/>
    <m/>
    <n v="126.83040054346196"/>
    <n v="133.07526328602185"/>
    <n v="0"/>
    <n v="89.489400000000018"/>
    <n v="0"/>
    <n v="72.773585872255453"/>
    <x v="1"/>
  </r>
  <r>
    <s v="Regular"/>
    <x v="0"/>
    <x v="0"/>
    <x v="0"/>
    <x v="2"/>
    <x v="0"/>
    <x v="0"/>
    <x v="0"/>
    <x v="6"/>
    <n v="0"/>
    <n v="0"/>
    <n v="0.56100000000000005"/>
    <n v="0.56100000000000005"/>
    <n v="0.56100000000000005"/>
    <n v="0.56100000000000005"/>
    <n v="1"/>
    <s v="CATIVO"/>
    <n v="0"/>
    <n v="0"/>
    <n v="10"/>
    <n v="56"/>
    <n v="0"/>
    <n v="133.31"/>
    <n v="186.3"/>
    <m/>
    <n v="126.83040054346196"/>
    <n v="133.07526328602185"/>
    <n v="0"/>
    <n v="119.53227000000004"/>
    <n v="0"/>
    <n v="97.204718272226941"/>
    <x v="1"/>
  </r>
  <r>
    <s v="Regular"/>
    <x v="0"/>
    <x v="0"/>
    <x v="0"/>
    <x v="2"/>
    <x v="0"/>
    <x v="0"/>
    <x v="0"/>
    <x v="7"/>
    <n v="0"/>
    <n v="0"/>
    <n v="0.49199999999999999"/>
    <n v="0.49199999999999999"/>
    <n v="0.49199999999999999"/>
    <n v="0.49199999999999999"/>
    <n v="1"/>
    <s v="CATIVO"/>
    <n v="0"/>
    <n v="0"/>
    <n v="10"/>
    <n v="56"/>
    <n v="0"/>
    <n v="133.31"/>
    <n v="186.3"/>
    <m/>
    <n v="126.83040054346196"/>
    <n v="133.07526328602185"/>
    <n v="0"/>
    <n v="104.83044000000002"/>
    <n v="0"/>
    <n v="85.249057736070682"/>
    <x v="1"/>
  </r>
  <r>
    <s v="Regular"/>
    <x v="0"/>
    <x v="0"/>
    <x v="0"/>
    <x v="2"/>
    <x v="0"/>
    <x v="0"/>
    <x v="0"/>
    <x v="8"/>
    <n v="0"/>
    <n v="0"/>
    <n v="0.495"/>
    <n v="0.495"/>
    <n v="0.495"/>
    <n v="0.495"/>
    <n v="1"/>
    <s v="CATIVO"/>
    <n v="0"/>
    <n v="0"/>
    <n v="10"/>
    <n v="56"/>
    <n v="0"/>
    <n v="133.31"/>
    <n v="186.3"/>
    <m/>
    <n v="126.83040054346196"/>
    <n v="133.07526328602185"/>
    <n v="0"/>
    <n v="105.46965000000003"/>
    <n v="0"/>
    <n v="85.768869063729639"/>
    <x v="1"/>
  </r>
  <r>
    <s v="Regular"/>
    <x v="0"/>
    <x v="0"/>
    <x v="0"/>
    <x v="2"/>
    <x v="0"/>
    <x v="0"/>
    <x v="0"/>
    <x v="9"/>
    <n v="0"/>
    <n v="0"/>
    <n v="0.48099999999999998"/>
    <n v="0.48099999999999998"/>
    <n v="0.48099999999999998"/>
    <n v="0.48099999999999998"/>
    <n v="2"/>
    <s v="CATIVO"/>
    <n v="0"/>
    <n v="0"/>
    <n v="10"/>
    <n v="56"/>
    <n v="0"/>
    <n v="133.31"/>
    <n v="186.3"/>
    <m/>
    <n v="126.83040054346196"/>
    <n v="133.07526328602185"/>
    <n v="0"/>
    <n v="102.48667000000002"/>
    <n v="0"/>
    <n v="83.343082867987789"/>
    <x v="1"/>
  </r>
  <r>
    <s v="Regular"/>
    <x v="0"/>
    <x v="0"/>
    <x v="0"/>
    <x v="2"/>
    <x v="0"/>
    <x v="0"/>
    <x v="0"/>
    <x v="10"/>
    <n v="0"/>
    <n v="0"/>
    <n v="0.48899999999999999"/>
    <n v="0.48899999999999999"/>
    <n v="0.48899999999999999"/>
    <n v="0.48899999999999999"/>
    <n v="2"/>
    <s v="CATIVO"/>
    <n v="0"/>
    <n v="0"/>
    <n v="10"/>
    <n v="56"/>
    <n v="0"/>
    <n v="133.31"/>
    <n v="186.3"/>
    <m/>
    <n v="126.83040054346196"/>
    <n v="133.07526328602185"/>
    <n v="0"/>
    <n v="104.19123000000002"/>
    <n v="0"/>
    <n v="84.729246408411711"/>
    <x v="1"/>
  </r>
  <r>
    <s v="Regular"/>
    <x v="0"/>
    <x v="0"/>
    <x v="0"/>
    <x v="2"/>
    <x v="0"/>
    <x v="0"/>
    <x v="0"/>
    <x v="11"/>
    <n v="0"/>
    <n v="0"/>
    <n v="0.49399999999999999"/>
    <n v="0.49399999999999999"/>
    <n v="0.49399999999999999"/>
    <n v="0.49399999999999999"/>
    <n v="1"/>
    <s v="CATIVO"/>
    <n v="0"/>
    <n v="0"/>
    <n v="10"/>
    <n v="56"/>
    <n v="0"/>
    <n v="133.31"/>
    <n v="186.3"/>
    <m/>
    <n v="126.83040054346196"/>
    <n v="133.07526328602185"/>
    <n v="0"/>
    <n v="105.25658000000003"/>
    <n v="0"/>
    <n v="85.595598621176649"/>
    <x v="1"/>
  </r>
  <r>
    <s v="Regular"/>
    <x v="0"/>
    <x v="0"/>
    <x v="0"/>
    <x v="3"/>
    <x v="0"/>
    <x v="0"/>
    <x v="0"/>
    <x v="0"/>
    <n v="0"/>
    <n v="0"/>
    <n v="0.12"/>
    <n v="0.12"/>
    <n v="0.12"/>
    <n v="0.12"/>
    <n v="0"/>
    <s v="CATIVO"/>
    <n v="0"/>
    <n v="0"/>
    <n v="42"/>
    <n v="60"/>
    <n v="0"/>
    <n v="199.96"/>
    <n v="279.45"/>
    <m/>
    <n v="190.24560081519294"/>
    <n v="199.61289492903279"/>
    <n v="0"/>
    <n v="6.3924000000000047"/>
    <n v="0"/>
    <n v="5.1981132765896714"/>
    <x v="1"/>
  </r>
  <r>
    <s v="Regular"/>
    <x v="0"/>
    <x v="0"/>
    <x v="0"/>
    <x v="3"/>
    <x v="0"/>
    <x v="0"/>
    <x v="0"/>
    <x v="1"/>
    <n v="0"/>
    <n v="0"/>
    <n v="0.106"/>
    <n v="0.106"/>
    <n v="0.106"/>
    <n v="0.106"/>
    <n v="1"/>
    <s v="CATIVO"/>
    <n v="0"/>
    <n v="0"/>
    <n v="42"/>
    <n v="60"/>
    <n v="0"/>
    <n v="199.96"/>
    <n v="279.45"/>
    <m/>
    <n v="190.24560081519294"/>
    <n v="199.61289492903279"/>
    <n v="0"/>
    <n v="5.646620000000004"/>
    <n v="0"/>
    <n v="4.5916667276542098"/>
    <x v="1"/>
  </r>
  <r>
    <s v="Regular"/>
    <x v="0"/>
    <x v="0"/>
    <x v="0"/>
    <x v="3"/>
    <x v="0"/>
    <x v="0"/>
    <x v="0"/>
    <x v="2"/>
    <n v="0"/>
    <n v="0"/>
    <n v="0.215"/>
    <n v="0.215"/>
    <n v="0.215"/>
    <n v="0.215"/>
    <n v="3"/>
    <s v="CATIVO"/>
    <n v="0"/>
    <n v="0"/>
    <n v="42"/>
    <n v="60"/>
    <n v="0"/>
    <n v="199.96"/>
    <n v="279.45"/>
    <m/>
    <n v="190.24560081519294"/>
    <n v="199.61289492903279"/>
    <n v="0"/>
    <n v="11.453050000000008"/>
    <n v="0"/>
    <n v="9.3132862872231605"/>
    <x v="1"/>
  </r>
  <r>
    <s v="Regular"/>
    <x v="0"/>
    <x v="0"/>
    <x v="0"/>
    <x v="3"/>
    <x v="0"/>
    <x v="0"/>
    <x v="0"/>
    <x v="3"/>
    <n v="0"/>
    <n v="0"/>
    <n v="0.215"/>
    <n v="0.215"/>
    <n v="0.215"/>
    <n v="0.215"/>
    <n v="2"/>
    <s v="CATIVO"/>
    <n v="0"/>
    <n v="0"/>
    <n v="42"/>
    <n v="60"/>
    <n v="0"/>
    <n v="199.96"/>
    <n v="279.45"/>
    <m/>
    <n v="190.24560081519294"/>
    <n v="199.61289492903279"/>
    <n v="0"/>
    <n v="11.453050000000008"/>
    <n v="0"/>
    <n v="9.3132862872231605"/>
    <x v="1"/>
  </r>
  <r>
    <s v="Regular"/>
    <x v="0"/>
    <x v="0"/>
    <x v="0"/>
    <x v="3"/>
    <x v="0"/>
    <x v="0"/>
    <x v="0"/>
    <x v="4"/>
    <n v="0"/>
    <n v="0"/>
    <n v="0.29799999999999999"/>
    <n v="0.29799999999999999"/>
    <n v="0.29799999999999999"/>
    <n v="0.29799999999999999"/>
    <n v="1"/>
    <s v="CATIVO"/>
    <n v="0"/>
    <n v="0"/>
    <n v="42"/>
    <n v="60"/>
    <n v="0"/>
    <n v="199.96"/>
    <n v="279.45"/>
    <m/>
    <n v="190.24560081519294"/>
    <n v="199.61289492903279"/>
    <n v="0"/>
    <n v="15.874460000000012"/>
    <n v="0"/>
    <n v="12.908647970197682"/>
    <x v="1"/>
  </r>
  <r>
    <s v="Regular"/>
    <x v="0"/>
    <x v="0"/>
    <x v="0"/>
    <x v="3"/>
    <x v="0"/>
    <x v="0"/>
    <x v="0"/>
    <x v="5"/>
    <n v="0"/>
    <n v="0"/>
    <n v="0.56499999999999995"/>
    <n v="0.56499999999999995"/>
    <n v="0.56499999999999995"/>
    <n v="0.56499999999999995"/>
    <n v="4"/>
    <s v="CATIVO"/>
    <n v="0"/>
    <n v="0"/>
    <n v="42"/>
    <n v="60"/>
    <n v="0"/>
    <n v="199.96"/>
    <n v="279.45"/>
    <m/>
    <n v="190.24560081519294"/>
    <n v="199.61289492903279"/>
    <n v="0"/>
    <n v="30.09755000000002"/>
    <n v="0"/>
    <n v="24.474450010609701"/>
    <x v="1"/>
  </r>
  <r>
    <s v="Regular"/>
    <x v="0"/>
    <x v="0"/>
    <x v="0"/>
    <x v="3"/>
    <x v="0"/>
    <x v="0"/>
    <x v="0"/>
    <x v="6"/>
    <n v="0"/>
    <n v="0"/>
    <n v="0.77600000000000002"/>
    <n v="0.77600000000000002"/>
    <n v="0.77600000000000002"/>
    <n v="0.77600000000000002"/>
    <n v="4"/>
    <s v="CATIVO"/>
    <n v="0"/>
    <n v="0"/>
    <n v="42"/>
    <n v="60"/>
    <n v="0"/>
    <n v="199.96"/>
    <n v="279.45"/>
    <m/>
    <n v="190.24560081519294"/>
    <n v="199.61289492903279"/>
    <n v="0"/>
    <n v="41.337520000000033"/>
    <n v="0"/>
    <n v="33.614465855279875"/>
    <x v="1"/>
  </r>
  <r>
    <s v="Regular"/>
    <x v="0"/>
    <x v="0"/>
    <x v="0"/>
    <x v="3"/>
    <x v="0"/>
    <x v="0"/>
    <x v="0"/>
    <x v="7"/>
    <n v="0"/>
    <n v="0"/>
    <n v="0.66600000000000004"/>
    <n v="0.66600000000000004"/>
    <n v="0.66600000000000004"/>
    <n v="0.66600000000000004"/>
    <n v="5"/>
    <s v="CATIVO"/>
    <n v="0"/>
    <n v="0"/>
    <n v="42"/>
    <n v="60"/>
    <n v="0"/>
    <n v="199.96"/>
    <n v="279.45"/>
    <m/>
    <n v="190.24560081519294"/>
    <n v="199.61289492903279"/>
    <n v="0"/>
    <n v="35.47782000000003"/>
    <n v="0"/>
    <n v="28.849528685072677"/>
    <x v="1"/>
  </r>
  <r>
    <s v="Regular"/>
    <x v="0"/>
    <x v="0"/>
    <x v="0"/>
    <x v="3"/>
    <x v="0"/>
    <x v="0"/>
    <x v="0"/>
    <x v="8"/>
    <n v="0"/>
    <n v="0"/>
    <n v="0.71099999999999997"/>
    <n v="0.71099999999999997"/>
    <n v="0.71099999999999997"/>
    <n v="0.71099999999999997"/>
    <n v="3"/>
    <s v="CATIVO"/>
    <n v="0"/>
    <n v="0"/>
    <n v="42"/>
    <n v="60"/>
    <n v="0"/>
    <n v="199.96"/>
    <n v="279.45"/>
    <m/>
    <n v="190.24560081519294"/>
    <n v="199.61289492903279"/>
    <n v="0"/>
    <n v="37.874970000000026"/>
    <n v="0"/>
    <n v="30.7988211637938"/>
    <x v="1"/>
  </r>
  <r>
    <s v="Regular"/>
    <x v="0"/>
    <x v="0"/>
    <x v="0"/>
    <x v="3"/>
    <x v="0"/>
    <x v="0"/>
    <x v="0"/>
    <x v="9"/>
    <n v="0"/>
    <n v="0"/>
    <n v="0.69599999999999995"/>
    <n v="0.69599999999999995"/>
    <n v="0.69599999999999995"/>
    <n v="0.69599999999999995"/>
    <n v="2"/>
    <s v="CATIVO"/>
    <n v="0"/>
    <n v="0"/>
    <n v="42"/>
    <n v="60"/>
    <n v="0"/>
    <n v="199.96"/>
    <n v="279.45"/>
    <m/>
    <n v="190.24560081519294"/>
    <n v="199.61289492903279"/>
    <n v="0"/>
    <n v="37.075920000000025"/>
    <n v="0"/>
    <n v="30.14905700422009"/>
    <x v="1"/>
  </r>
  <r>
    <s v="Regular"/>
    <x v="0"/>
    <x v="0"/>
    <x v="0"/>
    <x v="3"/>
    <x v="0"/>
    <x v="0"/>
    <x v="0"/>
    <x v="10"/>
    <n v="0"/>
    <n v="0"/>
    <n v="0.7"/>
    <n v="0.7"/>
    <n v="0.7"/>
    <n v="0.7"/>
    <n v="2"/>
    <s v="CATIVO"/>
    <n v="0"/>
    <n v="0"/>
    <n v="42"/>
    <n v="60"/>
    <n v="0"/>
    <n v="199.96"/>
    <n v="279.45"/>
    <m/>
    <n v="190.24560081519294"/>
    <n v="199.61289492903279"/>
    <n v="0"/>
    <n v="37.289000000000023"/>
    <n v="0"/>
    <n v="30.32232744677308"/>
    <x v="1"/>
  </r>
  <r>
    <s v="Regular"/>
    <x v="0"/>
    <x v="0"/>
    <x v="0"/>
    <x v="3"/>
    <x v="0"/>
    <x v="0"/>
    <x v="0"/>
    <x v="11"/>
    <n v="0"/>
    <n v="0"/>
    <n v="0.72499999999999998"/>
    <n v="0.72499999999999998"/>
    <n v="0.72499999999999998"/>
    <n v="0.72499999999999998"/>
    <n v="1"/>
    <s v="CATIVO"/>
    <n v="0"/>
    <n v="0"/>
    <n v="42"/>
    <n v="60"/>
    <n v="0"/>
    <n v="199.96"/>
    <n v="279.45"/>
    <m/>
    <n v="190.24560081519294"/>
    <n v="199.61289492903279"/>
    <n v="0"/>
    <n v="38.620750000000029"/>
    <n v="0"/>
    <n v="31.405267712729263"/>
    <x v="1"/>
  </r>
  <r>
    <s v="Regular"/>
    <x v="0"/>
    <x v="0"/>
    <x v="0"/>
    <x v="4"/>
    <x v="0"/>
    <x v="0"/>
    <x v="0"/>
    <x v="0"/>
    <n v="0"/>
    <n v="0"/>
    <n v="6.0000000000000001E-3"/>
    <n v="6.0000000000000001E-3"/>
    <n v="6.0000000000000001E-3"/>
    <n v="6.0000000000000001E-3"/>
    <n v="1"/>
    <s v="CATIVO"/>
    <n v="0"/>
    <n v="0"/>
    <n v="22"/>
    <n v="61"/>
    <n v="0"/>
    <n v="222.18"/>
    <n v="310.5"/>
    <m/>
    <n v="211.38400090576994"/>
    <n v="221.79210547670309"/>
    <n v="0"/>
    <n v="3.410605131648481E-16"/>
    <n v="0"/>
    <n v="-1.7053025658242405E-16"/>
    <x v="1"/>
  </r>
  <r>
    <s v="Regular"/>
    <x v="0"/>
    <x v="0"/>
    <x v="0"/>
    <x v="4"/>
    <x v="0"/>
    <x v="0"/>
    <x v="0"/>
    <x v="3"/>
    <n v="0"/>
    <n v="0"/>
    <n v="1.2999999999999999E-2"/>
    <n v="1.2999999999999999E-2"/>
    <n v="1.2999999999999999E-2"/>
    <n v="1.2999999999999999E-2"/>
    <n v="1"/>
    <s v="CATIVO"/>
    <n v="0"/>
    <n v="0"/>
    <n v="22"/>
    <n v="61"/>
    <n v="0"/>
    <n v="222.18"/>
    <n v="310.5"/>
    <m/>
    <n v="211.38400090576994"/>
    <n v="221.79210547670309"/>
    <n v="0"/>
    <n v="7.3896444519050416E-16"/>
    <n v="0"/>
    <n v="-3.6948222259525208E-16"/>
    <x v="1"/>
  </r>
  <r>
    <s v="Regular"/>
    <x v="0"/>
    <x v="0"/>
    <x v="0"/>
    <x v="4"/>
    <x v="0"/>
    <x v="0"/>
    <x v="0"/>
    <x v="4"/>
    <n v="0"/>
    <n v="0"/>
    <n v="5.6000000000000001E-2"/>
    <n v="5.6000000000000001E-2"/>
    <n v="5.6000000000000001E-2"/>
    <n v="5.6000000000000001E-2"/>
    <n v="2"/>
    <s v="CATIVO"/>
    <n v="0"/>
    <n v="0"/>
    <n v="22"/>
    <n v="61"/>
    <n v="0"/>
    <n v="222.18"/>
    <n v="310.5"/>
    <m/>
    <n v="211.38400090576994"/>
    <n v="221.79210547670309"/>
    <n v="0"/>
    <n v="3.1832314562052489E-15"/>
    <n v="0"/>
    <n v="-1.5916157281026244E-15"/>
    <x v="1"/>
  </r>
  <r>
    <s v="Regular"/>
    <x v="0"/>
    <x v="0"/>
    <x v="0"/>
    <x v="4"/>
    <x v="0"/>
    <x v="0"/>
    <x v="0"/>
    <x v="5"/>
    <n v="0"/>
    <n v="0"/>
    <n v="0.249"/>
    <n v="0.249"/>
    <n v="0.249"/>
    <n v="0.249"/>
    <n v="2"/>
    <s v="CATIVO"/>
    <n v="0"/>
    <n v="0"/>
    <n v="22"/>
    <n v="61"/>
    <n v="0"/>
    <n v="222.18"/>
    <n v="310.5"/>
    <m/>
    <n v="211.38400090576994"/>
    <n v="221.79210547670309"/>
    <n v="0"/>
    <n v="1.4154011296341196E-14"/>
    <n v="0"/>
    <n v="-7.0770056481705978E-15"/>
    <x v="1"/>
  </r>
  <r>
    <s v="Regular"/>
    <x v="0"/>
    <x v="0"/>
    <x v="0"/>
    <x v="4"/>
    <x v="0"/>
    <x v="0"/>
    <x v="0"/>
    <x v="6"/>
    <n v="0"/>
    <n v="0"/>
    <n v="0.17799999999999999"/>
    <n v="0.17799999999999999"/>
    <n v="0.17799999999999999"/>
    <n v="0.17799999999999999"/>
    <n v="4"/>
    <s v="CATIVO"/>
    <n v="0"/>
    <n v="0"/>
    <n v="22"/>
    <n v="61"/>
    <n v="0"/>
    <n v="222.18"/>
    <n v="310.5"/>
    <m/>
    <n v="211.38400090576994"/>
    <n v="221.79210547670309"/>
    <n v="0"/>
    <n v="1.0118128557223826E-14"/>
    <n v="0"/>
    <n v="-5.0590642786119131E-15"/>
    <x v="1"/>
  </r>
  <r>
    <s v="Regular"/>
    <x v="0"/>
    <x v="0"/>
    <x v="0"/>
    <x v="4"/>
    <x v="0"/>
    <x v="0"/>
    <x v="0"/>
    <x v="7"/>
    <n v="0"/>
    <n v="0"/>
    <n v="0.13900000000000001"/>
    <n v="0.13900000000000001"/>
    <n v="0.13900000000000001"/>
    <n v="0.13900000000000001"/>
    <n v="2"/>
    <s v="CATIVO"/>
    <n v="0"/>
    <n v="0"/>
    <n v="22"/>
    <n v="61"/>
    <n v="0"/>
    <n v="222.18"/>
    <n v="310.5"/>
    <m/>
    <n v="211.38400090576994"/>
    <n v="221.79210547670309"/>
    <n v="0"/>
    <n v="7.9012352216523148E-15"/>
    <n v="0"/>
    <n v="-3.9506176108261574E-15"/>
    <x v="1"/>
  </r>
  <r>
    <s v="Regular"/>
    <x v="0"/>
    <x v="0"/>
    <x v="0"/>
    <x v="4"/>
    <x v="0"/>
    <x v="0"/>
    <x v="0"/>
    <x v="8"/>
    <n v="0"/>
    <n v="0"/>
    <n v="0.20200000000000001"/>
    <n v="0.20200000000000001"/>
    <n v="0.20200000000000001"/>
    <n v="0.20200000000000001"/>
    <n v="4"/>
    <s v="CATIVO"/>
    <n v="0"/>
    <n v="0"/>
    <n v="22"/>
    <n v="61"/>
    <n v="0"/>
    <n v="222.18"/>
    <n v="310.5"/>
    <m/>
    <n v="211.38400090576994"/>
    <n v="221.79210547670309"/>
    <n v="0"/>
    <n v="1.148237060988322E-14"/>
    <n v="0"/>
    <n v="-5.7411853049416099E-15"/>
    <x v="1"/>
  </r>
  <r>
    <s v="Regular"/>
    <x v="0"/>
    <x v="0"/>
    <x v="0"/>
    <x v="4"/>
    <x v="0"/>
    <x v="0"/>
    <x v="0"/>
    <x v="9"/>
    <n v="0"/>
    <n v="0"/>
    <n v="0.62"/>
    <n v="0.62"/>
    <n v="0.62"/>
    <n v="0.62"/>
    <n v="4"/>
    <s v="CATIVO"/>
    <n v="0"/>
    <n v="0"/>
    <n v="22"/>
    <n v="61"/>
    <n v="0"/>
    <n v="222.18"/>
    <n v="310.5"/>
    <m/>
    <n v="211.38400090576994"/>
    <n v="221.79210547670309"/>
    <n v="0"/>
    <n v="3.5242919693700969E-14"/>
    <n v="0"/>
    <n v="-1.7621459846850484E-14"/>
    <x v="1"/>
  </r>
  <r>
    <s v="Regular"/>
    <x v="0"/>
    <x v="0"/>
    <x v="0"/>
    <x v="4"/>
    <x v="0"/>
    <x v="0"/>
    <x v="0"/>
    <x v="10"/>
    <n v="0"/>
    <n v="0"/>
    <n v="0.21"/>
    <n v="0.21"/>
    <n v="0.21"/>
    <n v="0.21"/>
    <n v="4"/>
    <s v="CATIVO"/>
    <n v="0"/>
    <n v="0"/>
    <n v="22"/>
    <n v="61"/>
    <n v="0"/>
    <n v="222.18"/>
    <n v="310.5"/>
    <m/>
    <n v="211.38400090576994"/>
    <n v="221.79210547670309"/>
    <n v="0"/>
    <n v="1.1937117960769683E-14"/>
    <n v="0"/>
    <n v="-5.9685589803848413E-15"/>
    <x v="1"/>
  </r>
  <r>
    <s v="Regular"/>
    <x v="0"/>
    <x v="0"/>
    <x v="0"/>
    <x v="4"/>
    <x v="0"/>
    <x v="0"/>
    <x v="0"/>
    <x v="11"/>
    <n v="0"/>
    <n v="0"/>
    <n v="0.42599999999999999"/>
    <n v="0.42599999999999999"/>
    <n v="0.42599999999999999"/>
    <n v="0.42599999999999999"/>
    <n v="6"/>
    <s v="CATIVO"/>
    <n v="0"/>
    <n v="0"/>
    <n v="22"/>
    <n v="61"/>
    <n v="0"/>
    <n v="222.18"/>
    <n v="310.5"/>
    <m/>
    <n v="211.38400090576994"/>
    <n v="221.79210547670309"/>
    <n v="0"/>
    <n v="2.4215296434704214E-14"/>
    <n v="0"/>
    <n v="-1.2107648217352107E-14"/>
    <x v="1"/>
  </r>
  <r>
    <s v="Regular"/>
    <x v="1"/>
    <x v="0"/>
    <x v="1"/>
    <x v="5"/>
    <x v="1"/>
    <x v="0"/>
    <x v="0"/>
    <x v="0"/>
    <n v="0"/>
    <n v="0"/>
    <n v="9.4E-2"/>
    <n v="9.4E-2"/>
    <n v="9.4E-2"/>
    <n v="9.4E-2"/>
    <n v="0"/>
    <s v="CATIVO"/>
    <n v="0"/>
    <n v="0"/>
    <n v="33"/>
    <n v="64"/>
    <n v="0"/>
    <n v="267.20999999999998"/>
    <n v="273.24"/>
    <m/>
    <n v="290.15853026289835"/>
    <n v="208.48457914810089"/>
    <n v="0"/>
    <n v="6.9277999999999986"/>
    <n v="0"/>
    <n v="2.9918586564659986"/>
    <x v="2"/>
  </r>
  <r>
    <s v="Regular"/>
    <x v="1"/>
    <x v="0"/>
    <x v="1"/>
    <x v="5"/>
    <x v="1"/>
    <x v="0"/>
    <x v="0"/>
    <x v="1"/>
    <n v="0"/>
    <n v="0"/>
    <n v="0.104"/>
    <n v="0.104"/>
    <n v="0.104"/>
    <n v="0.104"/>
    <n v="0"/>
    <s v="CATIVO"/>
    <n v="0"/>
    <n v="0"/>
    <n v="33"/>
    <n v="64"/>
    <n v="0"/>
    <n v="267.20999999999998"/>
    <n v="273.24"/>
    <m/>
    <n v="290.15853026289835"/>
    <n v="208.48457914810089"/>
    <n v="0"/>
    <n v="7.6647999999999987"/>
    <n v="0"/>
    <n v="3.3101414922602537"/>
    <x v="2"/>
  </r>
  <r>
    <s v="Regular"/>
    <x v="1"/>
    <x v="0"/>
    <x v="1"/>
    <x v="5"/>
    <x v="1"/>
    <x v="0"/>
    <x v="0"/>
    <x v="2"/>
    <n v="0"/>
    <n v="0"/>
    <n v="8.5000000000000006E-2"/>
    <n v="8.5000000000000006E-2"/>
    <n v="8.5000000000000006E-2"/>
    <n v="8.5000000000000006E-2"/>
    <n v="0"/>
    <s v="CATIVO"/>
    <n v="0"/>
    <n v="0"/>
    <n v="33"/>
    <n v="64"/>
    <n v="0"/>
    <n v="267.20999999999998"/>
    <n v="273.24"/>
    <m/>
    <n v="290.15853026289835"/>
    <n v="208.48457914810089"/>
    <n v="0"/>
    <n v="6.2644999999999991"/>
    <n v="0"/>
    <n v="2.7054041042511692"/>
    <x v="2"/>
  </r>
  <r>
    <s v="Regular"/>
    <x v="1"/>
    <x v="0"/>
    <x v="1"/>
    <x v="5"/>
    <x v="1"/>
    <x v="0"/>
    <x v="0"/>
    <x v="3"/>
    <n v="0"/>
    <n v="0"/>
    <n v="0.1"/>
    <n v="0.1"/>
    <n v="0.1"/>
    <n v="0.1"/>
    <n v="0"/>
    <s v="CATIVO"/>
    <n v="0"/>
    <n v="0"/>
    <n v="33"/>
    <n v="64"/>
    <n v="0"/>
    <n v="267.20999999999998"/>
    <n v="273.24"/>
    <m/>
    <n v="290.15853026289835"/>
    <n v="208.48457914810089"/>
    <n v="0"/>
    <n v="7.3699999999999992"/>
    <n v="0"/>
    <n v="3.1828283579425518"/>
    <x v="2"/>
  </r>
  <r>
    <s v="Regular"/>
    <x v="1"/>
    <x v="0"/>
    <x v="1"/>
    <x v="5"/>
    <x v="1"/>
    <x v="0"/>
    <x v="0"/>
    <x v="4"/>
    <n v="0"/>
    <n v="0"/>
    <n v="0.1"/>
    <n v="0.1"/>
    <n v="0.1"/>
    <n v="0.1"/>
    <n v="0"/>
    <s v="CATIVO"/>
    <n v="0"/>
    <n v="0"/>
    <n v="33"/>
    <n v="64"/>
    <n v="0"/>
    <n v="267.20999999999998"/>
    <n v="273.24"/>
    <m/>
    <n v="290.15853026289835"/>
    <n v="208.48457914810089"/>
    <n v="0"/>
    <n v="7.3699999999999992"/>
    <n v="0"/>
    <n v="3.1828283579425518"/>
    <x v="2"/>
  </r>
  <r>
    <s v="Regular"/>
    <x v="1"/>
    <x v="0"/>
    <x v="1"/>
    <x v="5"/>
    <x v="1"/>
    <x v="0"/>
    <x v="0"/>
    <x v="5"/>
    <n v="0"/>
    <n v="0"/>
    <n v="9.5000000000000001E-2"/>
    <n v="9.5000000000000001E-2"/>
    <n v="9.5000000000000001E-2"/>
    <n v="9.5000000000000001E-2"/>
    <n v="0"/>
    <s v="CATIVO"/>
    <n v="0"/>
    <n v="0"/>
    <n v="33"/>
    <n v="64"/>
    <n v="0"/>
    <n v="267.20999999999998"/>
    <n v="273.24"/>
    <m/>
    <n v="290.15853026289835"/>
    <n v="208.48457914810089"/>
    <n v="0"/>
    <n v="7.0014999999999992"/>
    <n v="0"/>
    <n v="3.0236869400454243"/>
    <x v="2"/>
  </r>
  <r>
    <s v="Regular"/>
    <x v="1"/>
    <x v="0"/>
    <x v="1"/>
    <x v="5"/>
    <x v="1"/>
    <x v="0"/>
    <x v="0"/>
    <x v="6"/>
    <n v="0"/>
    <n v="0"/>
    <n v="9.7000000000000003E-2"/>
    <n v="9.7000000000000003E-2"/>
    <n v="9.7000000000000003E-2"/>
    <n v="9.7000000000000003E-2"/>
    <n v="0"/>
    <s v="CATIVO"/>
    <n v="0"/>
    <n v="0"/>
    <n v="33"/>
    <n v="64"/>
    <n v="0"/>
    <n v="267.20999999999998"/>
    <n v="273.24"/>
    <m/>
    <n v="290.15853026289835"/>
    <n v="208.48457914810089"/>
    <n v="0"/>
    <n v="7.1488999999999994"/>
    <n v="0"/>
    <n v="3.0873435072042752"/>
    <x v="2"/>
  </r>
  <r>
    <s v="Regular"/>
    <x v="1"/>
    <x v="0"/>
    <x v="1"/>
    <x v="5"/>
    <x v="1"/>
    <x v="0"/>
    <x v="0"/>
    <x v="7"/>
    <n v="0"/>
    <n v="0"/>
    <n v="9.6000000000000002E-2"/>
    <n v="9.6000000000000002E-2"/>
    <n v="9.6000000000000002E-2"/>
    <n v="9.6000000000000002E-2"/>
    <n v="0"/>
    <s v="CATIVO"/>
    <n v="0"/>
    <n v="0"/>
    <n v="33"/>
    <n v="64"/>
    <n v="0"/>
    <n v="267.20999999999998"/>
    <n v="273.24"/>
    <m/>
    <n v="290.15853026289835"/>
    <n v="208.48457914810089"/>
    <n v="0"/>
    <n v="7.0751999999999988"/>
    <n v="0"/>
    <n v="3.0555152236248495"/>
    <x v="2"/>
  </r>
  <r>
    <s v="Regular"/>
    <x v="1"/>
    <x v="0"/>
    <x v="1"/>
    <x v="5"/>
    <x v="1"/>
    <x v="0"/>
    <x v="0"/>
    <x v="8"/>
    <n v="0"/>
    <n v="0"/>
    <n v="0.1"/>
    <n v="0.1"/>
    <n v="0.1"/>
    <n v="0.1"/>
    <n v="0"/>
    <s v="CATIVO"/>
    <n v="0"/>
    <n v="0"/>
    <n v="33"/>
    <n v="64"/>
    <n v="0"/>
    <n v="267.20999999999998"/>
    <n v="273.24"/>
    <m/>
    <n v="290.15853026289835"/>
    <n v="208.48457914810089"/>
    <n v="0"/>
    <n v="7.3699999999999992"/>
    <n v="0"/>
    <n v="3.1828283579425518"/>
    <x v="2"/>
  </r>
  <r>
    <s v="Regular"/>
    <x v="1"/>
    <x v="0"/>
    <x v="1"/>
    <x v="5"/>
    <x v="2"/>
    <x v="0"/>
    <x v="0"/>
    <x v="0"/>
    <n v="0"/>
    <n v="0"/>
    <n v="6.0000000000000001E-3"/>
    <n v="2.3999999999999998E-3"/>
    <n v="6.0000000000000001E-3"/>
    <n v="2.3999999999999998E-3"/>
    <n v="0"/>
    <s v="CATIVO"/>
    <n v="0"/>
    <n v="0"/>
    <n v="26"/>
    <n v="64"/>
    <n v="0"/>
    <n v="255.06"/>
    <n v="273.24"/>
    <m/>
    <n v="290.15853026289835"/>
    <n v="208.48457914810089"/>
    <n v="0"/>
    <n v="2.4169799999999997"/>
    <n v="0"/>
    <n v="1.9860848953561505"/>
    <x v="3"/>
  </r>
  <r>
    <s v="Regular"/>
    <x v="1"/>
    <x v="0"/>
    <x v="1"/>
    <x v="5"/>
    <x v="2"/>
    <x v="0"/>
    <x v="0"/>
    <x v="1"/>
    <n v="0"/>
    <n v="0"/>
    <n v="1.4999999999999999E-2"/>
    <n v="6.0000000000000001E-3"/>
    <n v="1.4999999999999999E-2"/>
    <n v="6.0000000000000001E-3"/>
    <n v="0"/>
    <s v="CATIVO"/>
    <n v="0"/>
    <n v="0"/>
    <n v="26"/>
    <n v="64"/>
    <n v="0"/>
    <n v="255.06"/>
    <n v="273.24"/>
    <m/>
    <n v="290.15853026289835"/>
    <n v="208.48457914810089"/>
    <n v="0"/>
    <n v="6.0424499999999988"/>
    <n v="0"/>
    <n v="4.9652122383903761"/>
    <x v="3"/>
  </r>
  <r>
    <s v="Regular"/>
    <x v="1"/>
    <x v="0"/>
    <x v="1"/>
    <x v="5"/>
    <x v="2"/>
    <x v="0"/>
    <x v="0"/>
    <x v="2"/>
    <n v="0"/>
    <n v="0"/>
    <n v="1.4999999999999999E-2"/>
    <n v="6.0000000000000001E-3"/>
    <n v="1.4999999999999999E-2"/>
    <n v="6.0000000000000001E-3"/>
    <n v="0"/>
    <s v="CATIVO"/>
    <n v="0"/>
    <n v="0"/>
    <n v="26"/>
    <n v="64"/>
    <n v="0"/>
    <n v="255.06"/>
    <n v="273.24"/>
    <m/>
    <n v="290.15853026289835"/>
    <n v="208.48457914810089"/>
    <n v="0"/>
    <n v="6.0424499999999988"/>
    <n v="0"/>
    <n v="4.9652122383903761"/>
    <x v="3"/>
  </r>
  <r>
    <s v="Regular"/>
    <x v="1"/>
    <x v="0"/>
    <x v="1"/>
    <x v="5"/>
    <x v="2"/>
    <x v="0"/>
    <x v="0"/>
    <x v="5"/>
    <n v="0"/>
    <n v="0"/>
    <n v="5.0000000000000001E-3"/>
    <n v="2E-3"/>
    <n v="5.0000000000000001E-3"/>
    <n v="2E-3"/>
    <n v="0"/>
    <s v="CATIVO"/>
    <n v="0"/>
    <n v="0"/>
    <n v="26"/>
    <n v="64"/>
    <n v="0"/>
    <n v="255.06"/>
    <n v="273.24"/>
    <m/>
    <n v="290.15853026289835"/>
    <n v="208.48457914810089"/>
    <n v="0"/>
    <n v="2.0141499999999999"/>
    <n v="0"/>
    <n v="1.6550707461301255"/>
    <x v="3"/>
  </r>
  <r>
    <s v="Regular"/>
    <x v="1"/>
    <x v="0"/>
    <x v="1"/>
    <x v="5"/>
    <x v="2"/>
    <x v="0"/>
    <x v="0"/>
    <x v="6"/>
    <n v="0"/>
    <n v="0"/>
    <n v="3.0000000000000001E-3"/>
    <n v="1.1999999999999999E-3"/>
    <n v="3.0000000000000001E-3"/>
    <n v="1.1999999999999999E-3"/>
    <n v="0"/>
    <s v="CATIVO"/>
    <n v="0"/>
    <n v="0"/>
    <n v="26"/>
    <n v="64"/>
    <n v="0"/>
    <n v="255.06"/>
    <n v="273.24"/>
    <m/>
    <n v="290.15853026289835"/>
    <n v="208.48457914810089"/>
    <n v="0"/>
    <n v="1.2084899999999998"/>
    <n v="0"/>
    <n v="0.99304244767807526"/>
    <x v="3"/>
  </r>
  <r>
    <s v="Regular"/>
    <x v="1"/>
    <x v="0"/>
    <x v="1"/>
    <x v="5"/>
    <x v="2"/>
    <x v="0"/>
    <x v="0"/>
    <x v="7"/>
    <n v="0"/>
    <n v="0"/>
    <n v="4.0000000000000001E-3"/>
    <n v="1.6000000000000001E-3"/>
    <n v="4.0000000000000001E-3"/>
    <n v="1.6000000000000001E-3"/>
    <n v="0"/>
    <s v="CATIVO"/>
    <n v="0"/>
    <n v="0"/>
    <n v="26"/>
    <n v="64"/>
    <n v="0"/>
    <n v="255.06"/>
    <n v="273.24"/>
    <m/>
    <n v="290.15853026289835"/>
    <n v="208.48457914810089"/>
    <n v="0"/>
    <n v="1.6113199999999999"/>
    <n v="0"/>
    <n v="1.3240565969041005"/>
    <x v="3"/>
  </r>
  <r>
    <s v="Regular"/>
    <x v="1"/>
    <x v="0"/>
    <x v="1"/>
    <x v="6"/>
    <x v="0"/>
    <x v="0"/>
    <x v="0"/>
    <x v="0"/>
    <n v="0"/>
    <n v="0"/>
    <n v="428.94200000000001"/>
    <n v="428.94200000000001"/>
    <n v="428.94200000000001"/>
    <n v="428.94200000000001"/>
    <n v="945"/>
    <s v="CATIVO"/>
    <n v="0"/>
    <n v="0"/>
    <n v="33"/>
    <n v="64"/>
    <n v="0"/>
    <n v="267.20999999999998"/>
    <n v="273.24"/>
    <m/>
    <n v="290.15853026289835"/>
    <n v="208.48457914810089"/>
    <n v="0"/>
    <n v="31613.025399999995"/>
    <n v="0"/>
    <n v="13652.48761512594"/>
    <x v="2"/>
  </r>
  <r>
    <s v="Sistema de Compensação"/>
    <x v="1"/>
    <x v="0"/>
    <x v="1"/>
    <x v="6"/>
    <x v="0"/>
    <x v="0"/>
    <x v="0"/>
    <x v="0"/>
    <n v="0"/>
    <n v="0"/>
    <n v="23.366"/>
    <n v="23.366"/>
    <n v="23.366"/>
    <n v="23.366"/>
    <n v="15"/>
    <s v="CATIVO"/>
    <n v="0"/>
    <n v="0"/>
    <n v="33"/>
    <n v="64"/>
    <n v="0"/>
    <n v="267.20999999999998"/>
    <n v="273.24"/>
    <m/>
    <n v="290.15853026289835"/>
    <n v="208.48457914810089"/>
    <n v="0"/>
    <n v="1722.0741999999998"/>
    <n v="0"/>
    <n v="743.69967411685661"/>
    <x v="2"/>
  </r>
  <r>
    <s v="Regular"/>
    <x v="1"/>
    <x v="0"/>
    <x v="1"/>
    <x v="6"/>
    <x v="0"/>
    <x v="0"/>
    <x v="0"/>
    <x v="1"/>
    <n v="0"/>
    <n v="0"/>
    <n v="443.80099999999999"/>
    <n v="443.80099999999999"/>
    <n v="443.80099999999999"/>
    <n v="443.80099999999999"/>
    <n v="949"/>
    <s v="CATIVO"/>
    <n v="0"/>
    <n v="0"/>
    <n v="33"/>
    <n v="64"/>
    <n v="0"/>
    <n v="267.20999999999998"/>
    <n v="273.24"/>
    <m/>
    <n v="290.15853026289835"/>
    <n v="208.48457914810089"/>
    <n v="0"/>
    <n v="32708.133699999995"/>
    <n v="0"/>
    <n v="14125.424080832623"/>
    <x v="2"/>
  </r>
  <r>
    <s v="Refaturamento - Regular"/>
    <x v="1"/>
    <x v="0"/>
    <x v="1"/>
    <x v="6"/>
    <x v="0"/>
    <x v="0"/>
    <x v="0"/>
    <x v="1"/>
    <n v="0"/>
    <n v="0"/>
    <n v="-0.745"/>
    <n v="-0.745"/>
    <n v="-0.745"/>
    <n v="-0.745"/>
    <n v="0"/>
    <s v="CATIVO"/>
    <n v="0"/>
    <n v="0"/>
    <n v="33"/>
    <n v="64"/>
    <n v="0"/>
    <n v="267.20999999999998"/>
    <n v="273.24"/>
    <m/>
    <n v="290.15853026289835"/>
    <n v="208.48457914810089"/>
    <n v="0"/>
    <n v="-54.906499999999994"/>
    <n v="0"/>
    <n v="-23.712071266672009"/>
    <x v="2"/>
  </r>
  <r>
    <s v="Sistema de Compensação"/>
    <x v="1"/>
    <x v="0"/>
    <x v="1"/>
    <x v="6"/>
    <x v="0"/>
    <x v="0"/>
    <x v="0"/>
    <x v="1"/>
    <n v="0"/>
    <n v="0"/>
    <n v="18.138999999999999"/>
    <n v="18.138999999999999"/>
    <n v="18.138999999999999"/>
    <n v="18.138999999999999"/>
    <n v="15"/>
    <s v="CATIVO"/>
    <n v="0"/>
    <n v="0"/>
    <n v="33"/>
    <n v="64"/>
    <n v="0"/>
    <n v="267.20999999999998"/>
    <n v="273.24"/>
    <m/>
    <n v="290.15853026289835"/>
    <n v="208.48457914810089"/>
    <n v="0"/>
    <n v="1336.8442999999997"/>
    <n v="0"/>
    <n v="577.33323584719938"/>
    <x v="2"/>
  </r>
  <r>
    <s v="Regular"/>
    <x v="1"/>
    <x v="0"/>
    <x v="1"/>
    <x v="6"/>
    <x v="0"/>
    <x v="0"/>
    <x v="0"/>
    <x v="2"/>
    <n v="0"/>
    <n v="0"/>
    <n v="529.39200000000005"/>
    <n v="529.39200000000005"/>
    <n v="529.39200000000005"/>
    <n v="529.39200000000005"/>
    <n v="950"/>
    <s v="CATIVO"/>
    <n v="0"/>
    <n v="0"/>
    <n v="33"/>
    <n v="64"/>
    <n v="0"/>
    <n v="267.20999999999998"/>
    <n v="273.24"/>
    <m/>
    <n v="290.15853026289835"/>
    <n v="208.48457914810089"/>
    <n v="0"/>
    <n v="39016.190399999999"/>
    <n v="0"/>
    <n v="16849.638700679236"/>
    <x v="2"/>
  </r>
  <r>
    <s v="Sistema de Compensação"/>
    <x v="1"/>
    <x v="0"/>
    <x v="1"/>
    <x v="6"/>
    <x v="0"/>
    <x v="0"/>
    <x v="0"/>
    <x v="2"/>
    <n v="0"/>
    <n v="0"/>
    <n v="25.25"/>
    <n v="25.25"/>
    <n v="25.25"/>
    <n v="25.25"/>
    <n v="16"/>
    <s v="CATIVO"/>
    <n v="0"/>
    <n v="0"/>
    <n v="33"/>
    <n v="64"/>
    <n v="0"/>
    <n v="267.20999999999998"/>
    <n v="273.24"/>
    <m/>
    <n v="290.15853026289835"/>
    <n v="208.48457914810089"/>
    <n v="0"/>
    <n v="1860.9249999999997"/>
    <n v="0"/>
    <n v="803.66416038049431"/>
    <x v="2"/>
  </r>
  <r>
    <s v="Regular"/>
    <x v="1"/>
    <x v="0"/>
    <x v="1"/>
    <x v="6"/>
    <x v="0"/>
    <x v="0"/>
    <x v="0"/>
    <x v="3"/>
    <n v="0"/>
    <n v="0"/>
    <n v="478.95499999999998"/>
    <n v="478.95499999999998"/>
    <n v="478.95499999999998"/>
    <n v="478.95499999999998"/>
    <n v="946"/>
    <s v="CATIVO"/>
    <n v="0"/>
    <n v="0"/>
    <n v="33"/>
    <n v="64"/>
    <n v="0"/>
    <n v="267.20999999999998"/>
    <n v="273.24"/>
    <m/>
    <n v="290.15853026289835"/>
    <n v="208.48457914810089"/>
    <n v="0"/>
    <n v="35298.983499999995"/>
    <n v="0"/>
    <n v="15244.315561783747"/>
    <x v="2"/>
  </r>
  <r>
    <s v="Sistema de Compensação"/>
    <x v="1"/>
    <x v="0"/>
    <x v="1"/>
    <x v="6"/>
    <x v="0"/>
    <x v="0"/>
    <x v="0"/>
    <x v="3"/>
    <n v="0"/>
    <n v="0"/>
    <n v="15.506"/>
    <n v="15.506"/>
    <n v="15.506"/>
    <n v="15.506"/>
    <n v="19"/>
    <s v="CATIVO"/>
    <n v="0"/>
    <n v="0"/>
    <n v="33"/>
    <n v="64"/>
    <n v="0"/>
    <n v="267.20999999999998"/>
    <n v="273.24"/>
    <m/>
    <n v="290.15853026289835"/>
    <n v="208.48457914810089"/>
    <n v="0"/>
    <n v="1142.7921999999999"/>
    <n v="0"/>
    <n v="493.52936518257206"/>
    <x v="2"/>
  </r>
  <r>
    <s v="Regular"/>
    <x v="1"/>
    <x v="0"/>
    <x v="1"/>
    <x v="6"/>
    <x v="0"/>
    <x v="0"/>
    <x v="0"/>
    <x v="4"/>
    <n v="0"/>
    <n v="0"/>
    <n v="520.29399999999998"/>
    <n v="520.29399999999998"/>
    <n v="520.29399999999998"/>
    <n v="520.29399999999998"/>
    <n v="945"/>
    <s v="CATIVO"/>
    <n v="0"/>
    <n v="0"/>
    <n v="33"/>
    <n v="64"/>
    <n v="0"/>
    <n v="267.20999999999998"/>
    <n v="273.24"/>
    <m/>
    <n v="290.15853026289835"/>
    <n v="208.48457914810089"/>
    <n v="0"/>
    <n v="38345.667799999996"/>
    <n v="0"/>
    <n v="16560.064976673621"/>
    <x v="2"/>
  </r>
  <r>
    <s v="Sistema de Compensação"/>
    <x v="1"/>
    <x v="0"/>
    <x v="1"/>
    <x v="6"/>
    <x v="0"/>
    <x v="0"/>
    <x v="0"/>
    <x v="4"/>
    <n v="0"/>
    <n v="0"/>
    <n v="51.01"/>
    <n v="51.01"/>
    <n v="51.01"/>
    <n v="51.01"/>
    <n v="22"/>
    <s v="CATIVO"/>
    <n v="0"/>
    <n v="0"/>
    <n v="33"/>
    <n v="64"/>
    <n v="0"/>
    <n v="267.20999999999998"/>
    <n v="273.24"/>
    <m/>
    <n v="290.15853026289835"/>
    <n v="208.48457914810089"/>
    <n v="0"/>
    <n v="3759.4369999999994"/>
    <n v="0"/>
    <n v="1623.5607453864955"/>
    <x v="2"/>
  </r>
  <r>
    <s v="Regular"/>
    <x v="1"/>
    <x v="0"/>
    <x v="1"/>
    <x v="6"/>
    <x v="0"/>
    <x v="0"/>
    <x v="0"/>
    <x v="5"/>
    <n v="0"/>
    <n v="0"/>
    <n v="448.75400000000002"/>
    <n v="448.75400000000002"/>
    <n v="448.75400000000002"/>
    <n v="448.75400000000002"/>
    <n v="946"/>
    <s v="CATIVO"/>
    <n v="0"/>
    <n v="0"/>
    <n v="33"/>
    <n v="64"/>
    <n v="0"/>
    <n v="267.20999999999998"/>
    <n v="273.24"/>
    <m/>
    <n v="290.15853026289835"/>
    <n v="208.48457914810089"/>
    <n v="0"/>
    <n v="33073.169799999996"/>
    <n v="0"/>
    <n v="14283.069569401519"/>
    <x v="2"/>
  </r>
  <r>
    <s v="Sistema de Compensação"/>
    <x v="1"/>
    <x v="0"/>
    <x v="1"/>
    <x v="6"/>
    <x v="0"/>
    <x v="0"/>
    <x v="0"/>
    <x v="5"/>
    <n v="0"/>
    <n v="0"/>
    <n v="24.344999999999999"/>
    <n v="24.344999999999999"/>
    <n v="24.344999999999999"/>
    <n v="24.344999999999999"/>
    <n v="23"/>
    <s v="CATIVO"/>
    <n v="0"/>
    <n v="0"/>
    <n v="33"/>
    <n v="64"/>
    <n v="0"/>
    <n v="267.20999999999998"/>
    <n v="273.24"/>
    <m/>
    <n v="290.15853026289835"/>
    <n v="208.48457914810089"/>
    <n v="0"/>
    <n v="1794.2264999999995"/>
    <n v="0"/>
    <n v="774.85956374111413"/>
    <x v="2"/>
  </r>
  <r>
    <s v="Regular"/>
    <x v="1"/>
    <x v="0"/>
    <x v="1"/>
    <x v="6"/>
    <x v="0"/>
    <x v="0"/>
    <x v="0"/>
    <x v="6"/>
    <n v="0"/>
    <n v="0"/>
    <n v="441.31900000000002"/>
    <n v="441.31900000000002"/>
    <n v="441.31900000000002"/>
    <n v="441.31900000000002"/>
    <n v="950"/>
    <s v="CATIVO"/>
    <n v="0"/>
    <n v="0"/>
    <n v="33"/>
    <n v="64"/>
    <n v="0"/>
    <n v="267.20999999999998"/>
    <n v="273.24"/>
    <m/>
    <n v="290.15853026289835"/>
    <n v="208.48457914810089"/>
    <n v="0"/>
    <n v="32525.210299999995"/>
    <n v="0"/>
    <n v="14046.426280988489"/>
    <x v="2"/>
  </r>
  <r>
    <s v="Sistema de Compensação"/>
    <x v="1"/>
    <x v="0"/>
    <x v="1"/>
    <x v="6"/>
    <x v="0"/>
    <x v="0"/>
    <x v="0"/>
    <x v="6"/>
    <n v="0"/>
    <n v="0"/>
    <n v="39.655999999999999"/>
    <n v="39.655999999999999"/>
    <n v="39.655999999999999"/>
    <n v="39.655999999999999"/>
    <n v="23"/>
    <s v="CATIVO"/>
    <n v="0"/>
    <n v="0"/>
    <n v="33"/>
    <n v="64"/>
    <n v="0"/>
    <n v="267.20999999999998"/>
    <n v="273.24"/>
    <m/>
    <n v="290.15853026289835"/>
    <n v="208.48457914810089"/>
    <n v="0"/>
    <n v="2922.6471999999994"/>
    <n v="0"/>
    <n v="1262.1824136256982"/>
    <x v="2"/>
  </r>
  <r>
    <s v="Regular"/>
    <x v="1"/>
    <x v="0"/>
    <x v="1"/>
    <x v="6"/>
    <x v="0"/>
    <x v="0"/>
    <x v="0"/>
    <x v="7"/>
    <n v="0"/>
    <n v="0"/>
    <n v="404.09800000000001"/>
    <n v="404.09800000000001"/>
    <n v="404.09800000000001"/>
    <n v="404.09800000000001"/>
    <n v="950"/>
    <s v="CATIVO"/>
    <n v="0"/>
    <n v="0"/>
    <n v="33"/>
    <n v="64"/>
    <n v="0"/>
    <n v="267.20999999999998"/>
    <n v="273.24"/>
    <m/>
    <n v="290.15853026289835"/>
    <n v="208.48457914810089"/>
    <n v="0"/>
    <n v="29782.022599999997"/>
    <n v="0"/>
    <n v="12861.745737878693"/>
    <x v="2"/>
  </r>
  <r>
    <s v="Sistema de Compensação"/>
    <x v="1"/>
    <x v="0"/>
    <x v="1"/>
    <x v="6"/>
    <x v="0"/>
    <x v="0"/>
    <x v="0"/>
    <x v="7"/>
    <n v="0"/>
    <n v="0"/>
    <n v="39.155999999999999"/>
    <n v="39.155999999999999"/>
    <n v="39.155999999999999"/>
    <n v="39.155999999999999"/>
    <n v="23"/>
    <s v="CATIVO"/>
    <n v="0"/>
    <n v="0"/>
    <n v="33"/>
    <n v="64"/>
    <n v="0"/>
    <n v="267.20999999999998"/>
    <n v="273.24"/>
    <m/>
    <n v="290.15853026289835"/>
    <n v="208.48457914810089"/>
    <n v="0"/>
    <n v="2885.7971999999995"/>
    <n v="0"/>
    <n v="1246.2682718359854"/>
    <x v="2"/>
  </r>
  <r>
    <s v="Regular"/>
    <x v="1"/>
    <x v="0"/>
    <x v="1"/>
    <x v="6"/>
    <x v="0"/>
    <x v="0"/>
    <x v="0"/>
    <x v="8"/>
    <n v="0"/>
    <n v="0"/>
    <n v="409.298"/>
    <n v="409.298"/>
    <n v="409.298"/>
    <n v="409.298"/>
    <n v="947"/>
    <s v="CATIVO"/>
    <n v="0"/>
    <n v="0"/>
    <n v="33"/>
    <n v="64"/>
    <n v="0"/>
    <n v="267.20999999999998"/>
    <n v="273.24"/>
    <m/>
    <n v="290.15853026289835"/>
    <n v="208.48457914810089"/>
    <n v="0"/>
    <n v="30165.262599999995"/>
    <n v="0"/>
    <n v="13027.252812491704"/>
    <x v="2"/>
  </r>
  <r>
    <s v="Sistema de Compensação"/>
    <x v="1"/>
    <x v="0"/>
    <x v="1"/>
    <x v="6"/>
    <x v="0"/>
    <x v="0"/>
    <x v="0"/>
    <x v="8"/>
    <n v="0"/>
    <n v="0"/>
    <n v="45.146999999999998"/>
    <n v="45.146999999999998"/>
    <n v="45.146999999999998"/>
    <n v="45.146999999999998"/>
    <n v="25"/>
    <s v="CATIVO"/>
    <n v="0"/>
    <n v="0"/>
    <n v="33"/>
    <n v="64"/>
    <n v="0"/>
    <n v="267.20999999999998"/>
    <n v="273.24"/>
    <m/>
    <n v="290.15853026289835"/>
    <n v="208.48457914810089"/>
    <n v="0"/>
    <n v="3327.3338999999992"/>
    <n v="0"/>
    <n v="1436.9515187603238"/>
    <x v="2"/>
  </r>
  <r>
    <s v="Regular"/>
    <x v="1"/>
    <x v="0"/>
    <x v="1"/>
    <x v="6"/>
    <x v="0"/>
    <x v="0"/>
    <x v="0"/>
    <x v="9"/>
    <n v="0"/>
    <n v="0"/>
    <n v="386.99599999999998"/>
    <n v="386.99599999999998"/>
    <n v="386.99599999999998"/>
    <n v="386.99599999999998"/>
    <n v="946"/>
    <s v="CATIVO"/>
    <n v="0"/>
    <n v="0"/>
    <n v="33"/>
    <n v="64"/>
    <n v="0"/>
    <n v="267.20999999999998"/>
    <n v="273.24"/>
    <m/>
    <n v="290.15853026289835"/>
    <n v="208.48457914810089"/>
    <n v="0"/>
    <n v="28521.605199999995"/>
    <n v="0"/>
    <n v="12317.418432103357"/>
    <x v="2"/>
  </r>
  <r>
    <s v="Sistema de Compensação"/>
    <x v="1"/>
    <x v="0"/>
    <x v="1"/>
    <x v="6"/>
    <x v="0"/>
    <x v="0"/>
    <x v="0"/>
    <x v="9"/>
    <n v="0"/>
    <n v="0"/>
    <n v="49.85"/>
    <n v="49.85"/>
    <n v="49.85"/>
    <n v="49.85"/>
    <n v="27"/>
    <s v="CATIVO"/>
    <n v="0"/>
    <n v="0"/>
    <n v="33"/>
    <n v="64"/>
    <n v="0"/>
    <n v="267.20999999999998"/>
    <n v="273.24"/>
    <m/>
    <n v="290.15853026289835"/>
    <n v="208.48457914810089"/>
    <n v="0"/>
    <n v="3673.9449999999997"/>
    <n v="0"/>
    <n v="1586.639936434362"/>
    <x v="2"/>
  </r>
  <r>
    <s v="Regular"/>
    <x v="1"/>
    <x v="0"/>
    <x v="1"/>
    <x v="6"/>
    <x v="0"/>
    <x v="0"/>
    <x v="0"/>
    <x v="10"/>
    <n v="0"/>
    <n v="0"/>
    <n v="380.39699999999999"/>
    <n v="380.39699999999999"/>
    <n v="380.39699999999999"/>
    <n v="380.39699999999999"/>
    <n v="939"/>
    <s v="CATIVO"/>
    <n v="0"/>
    <n v="0"/>
    <n v="33"/>
    <n v="64"/>
    <n v="0"/>
    <n v="267.20999999999998"/>
    <n v="273.24"/>
    <m/>
    <n v="290.15853026289835"/>
    <n v="208.48457914810089"/>
    <n v="0"/>
    <n v="28035.258899999993"/>
    <n v="0"/>
    <n v="12107.383588762728"/>
    <x v="2"/>
  </r>
  <r>
    <s v="Sistema de Compensação"/>
    <x v="1"/>
    <x v="0"/>
    <x v="1"/>
    <x v="6"/>
    <x v="0"/>
    <x v="0"/>
    <x v="0"/>
    <x v="10"/>
    <n v="0"/>
    <n v="0"/>
    <n v="65.037000000000006"/>
    <n v="65.037000000000006"/>
    <n v="65.037000000000006"/>
    <n v="65.037000000000006"/>
    <n v="30"/>
    <s v="CATIVO"/>
    <n v="0"/>
    <n v="0"/>
    <n v="33"/>
    <n v="64"/>
    <n v="0"/>
    <n v="267.20999999999998"/>
    <n v="273.24"/>
    <m/>
    <n v="290.15853026289835"/>
    <n v="208.48457914810089"/>
    <n v="0"/>
    <n v="4793.2268999999997"/>
    <n v="0"/>
    <n v="2070.0160791550975"/>
    <x v="2"/>
  </r>
  <r>
    <s v="Regular"/>
    <x v="1"/>
    <x v="0"/>
    <x v="1"/>
    <x v="6"/>
    <x v="0"/>
    <x v="0"/>
    <x v="0"/>
    <x v="11"/>
    <n v="0"/>
    <n v="0"/>
    <n v="433.69900000000001"/>
    <n v="433.69900000000001"/>
    <n v="433.69900000000001"/>
    <n v="433.69900000000001"/>
    <n v="939"/>
    <s v="CATIVO"/>
    <n v="0"/>
    <n v="0"/>
    <n v="33"/>
    <n v="64"/>
    <n v="0"/>
    <n v="267.20999999999998"/>
    <n v="273.24"/>
    <m/>
    <n v="290.15853026289835"/>
    <n v="208.48457914810089"/>
    <n v="0"/>
    <n v="31963.616299999994"/>
    <n v="0"/>
    <n v="13803.894760113268"/>
    <x v="2"/>
  </r>
  <r>
    <s v="Sistema de Compensação"/>
    <x v="1"/>
    <x v="0"/>
    <x v="1"/>
    <x v="6"/>
    <x v="0"/>
    <x v="0"/>
    <x v="0"/>
    <x v="11"/>
    <n v="0"/>
    <n v="0"/>
    <n v="30.49"/>
    <n v="30.49"/>
    <n v="30.49"/>
    <n v="30.49"/>
    <n v="32"/>
    <s v="CATIVO"/>
    <n v="0"/>
    <n v="0"/>
    <n v="33"/>
    <n v="64"/>
    <n v="0"/>
    <n v="267.20999999999998"/>
    <n v="273.24"/>
    <m/>
    <n v="290.15853026289835"/>
    <n v="208.48457914810089"/>
    <n v="0"/>
    <n v="2247.1129999999994"/>
    <n v="0"/>
    <n v="970.44436633668397"/>
    <x v="2"/>
  </r>
  <r>
    <s v="Regular"/>
    <x v="2"/>
    <x v="0"/>
    <x v="2"/>
    <x v="7"/>
    <x v="0"/>
    <x v="0"/>
    <x v="0"/>
    <x v="0"/>
    <n v="0"/>
    <n v="0"/>
    <n v="0.79900000000000004"/>
    <n v="0.75105999999999995"/>
    <n v="0.79900000000000004"/>
    <n v="0.75105999999999995"/>
    <n v="2"/>
    <s v="CATIVO"/>
    <n v="0"/>
    <n v="0"/>
    <n v="32"/>
    <n v="55"/>
    <n v="0"/>
    <n v="303.64999999999998"/>
    <n v="310.5"/>
    <m/>
    <n v="308.67928751372165"/>
    <n v="221.79210547670309"/>
    <n v="0"/>
    <n v="29.442351000000055"/>
    <n v="0"/>
    <n v="25.430798579961014"/>
    <x v="4"/>
  </r>
  <r>
    <s v="Regular"/>
    <x v="2"/>
    <x v="0"/>
    <x v="2"/>
    <x v="7"/>
    <x v="0"/>
    <x v="0"/>
    <x v="0"/>
    <x v="1"/>
    <n v="0"/>
    <n v="0"/>
    <n v="0.68899999999999995"/>
    <n v="0.6476599999999999"/>
    <n v="0.68899999999999995"/>
    <n v="0.6476599999999999"/>
    <n v="2"/>
    <s v="CATIVO"/>
    <n v="0"/>
    <n v="0"/>
    <n v="32"/>
    <n v="55"/>
    <n v="0"/>
    <n v="303.64999999999998"/>
    <n v="310.5"/>
    <m/>
    <n v="308.67928751372165"/>
    <n v="221.79210547670309"/>
    <n v="0"/>
    <n v="25.388961000000023"/>
    <n v="0"/>
    <n v="21.929687386224181"/>
    <x v="4"/>
  </r>
  <r>
    <s v="Regular"/>
    <x v="2"/>
    <x v="0"/>
    <x v="2"/>
    <x v="7"/>
    <x v="0"/>
    <x v="0"/>
    <x v="0"/>
    <x v="2"/>
    <n v="0"/>
    <n v="0"/>
    <n v="0.83799999999999997"/>
    <n v="0.78771999999999998"/>
    <n v="0.83799999999999997"/>
    <n v="0.78771999999999998"/>
    <n v="2"/>
    <s v="CATIVO"/>
    <n v="0"/>
    <n v="0"/>
    <n v="32"/>
    <n v="55"/>
    <n v="0"/>
    <n v="303.64999999999998"/>
    <n v="310.5"/>
    <m/>
    <n v="308.67928751372165"/>
    <n v="221.79210547670309"/>
    <n v="0"/>
    <n v="30.879461999999993"/>
    <n v="0"/>
    <n v="26.672101639558552"/>
    <x v="4"/>
  </r>
  <r>
    <s v="Regular"/>
    <x v="2"/>
    <x v="0"/>
    <x v="2"/>
    <x v="7"/>
    <x v="0"/>
    <x v="0"/>
    <x v="0"/>
    <x v="3"/>
    <n v="0"/>
    <n v="0"/>
    <n v="0.78700000000000003"/>
    <n v="0.73977999999999999"/>
    <n v="0.78700000000000003"/>
    <n v="0.73977999999999999"/>
    <n v="2"/>
    <s v="CATIVO"/>
    <n v="0"/>
    <n v="0"/>
    <n v="32"/>
    <n v="55"/>
    <n v="0"/>
    <n v="303.64999999999998"/>
    <n v="310.5"/>
    <m/>
    <n v="308.67928751372165"/>
    <n v="221.79210547670309"/>
    <n v="0"/>
    <n v="29.000163000000022"/>
    <n v="0"/>
    <n v="25.048859177007877"/>
    <x v="4"/>
  </r>
  <r>
    <s v="Regular"/>
    <x v="2"/>
    <x v="0"/>
    <x v="2"/>
    <x v="7"/>
    <x v="0"/>
    <x v="0"/>
    <x v="0"/>
    <x v="4"/>
    <n v="0"/>
    <n v="0"/>
    <n v="0.80200000000000005"/>
    <n v="0.75387999999999999"/>
    <n v="0.80200000000000005"/>
    <n v="0.75387999999999999"/>
    <n v="2"/>
    <s v="CATIVO"/>
    <n v="0"/>
    <n v="0"/>
    <n v="32"/>
    <n v="55"/>
    <n v="0"/>
    <n v="303.64999999999998"/>
    <n v="310.5"/>
    <m/>
    <n v="308.67928751372165"/>
    <n v="221.79210547670309"/>
    <n v="0"/>
    <n v="29.552898000000031"/>
    <n v="0"/>
    <n v="25.526283430699266"/>
    <x v="4"/>
  </r>
  <r>
    <s v="Regular"/>
    <x v="2"/>
    <x v="0"/>
    <x v="2"/>
    <x v="7"/>
    <x v="0"/>
    <x v="0"/>
    <x v="0"/>
    <x v="5"/>
    <n v="0"/>
    <n v="0"/>
    <n v="0.71099999999999997"/>
    <n v="0.66833999999999993"/>
    <n v="0.71099999999999997"/>
    <n v="0.66833999999999993"/>
    <n v="2"/>
    <s v="CATIVO"/>
    <n v="0"/>
    <n v="0"/>
    <n v="32"/>
    <n v="55"/>
    <n v="0"/>
    <n v="303.64999999999998"/>
    <n v="310.5"/>
    <m/>
    <n v="308.67928751372165"/>
    <n v="221.79210547670309"/>
    <n v="0"/>
    <n v="26.199639000000019"/>
    <n v="0"/>
    <n v="22.629909624971535"/>
    <x v="4"/>
  </r>
  <r>
    <s v="Regular"/>
    <x v="2"/>
    <x v="0"/>
    <x v="2"/>
    <x v="7"/>
    <x v="0"/>
    <x v="0"/>
    <x v="0"/>
    <x v="6"/>
    <n v="0"/>
    <n v="0"/>
    <n v="0.63300000000000001"/>
    <n v="0.59501999999999999"/>
    <n v="0.63300000000000001"/>
    <n v="0.59501999999999999"/>
    <n v="2"/>
    <s v="CATIVO"/>
    <n v="0"/>
    <n v="0"/>
    <n v="32"/>
    <n v="55"/>
    <n v="0"/>
    <n v="303.64999999999998"/>
    <n v="310.5"/>
    <m/>
    <n v="308.67928751372165"/>
    <n v="221.79210547670309"/>
    <n v="0"/>
    <n v="23.325417000000009"/>
    <n v="0"/>
    <n v="20.147303505776339"/>
    <x v="4"/>
  </r>
  <r>
    <s v="Regular"/>
    <x v="2"/>
    <x v="0"/>
    <x v="2"/>
    <x v="7"/>
    <x v="0"/>
    <x v="0"/>
    <x v="0"/>
    <x v="7"/>
    <n v="0"/>
    <n v="0"/>
    <n v="0.309"/>
    <n v="0.29046"/>
    <n v="0.309"/>
    <n v="0.29046"/>
    <n v="2"/>
    <s v="CATIVO"/>
    <n v="0"/>
    <n v="0"/>
    <n v="32"/>
    <n v="55"/>
    <n v="0"/>
    <n v="303.64999999999998"/>
    <n v="310.5"/>
    <m/>
    <n v="308.67928751372165"/>
    <n v="221.79210547670309"/>
    <n v="0"/>
    <n v="11.386341000000002"/>
    <n v="0"/>
    <n v="9.8349396260424751"/>
    <x v="4"/>
  </r>
  <r>
    <s v="Regular"/>
    <x v="2"/>
    <x v="0"/>
    <x v="2"/>
    <x v="7"/>
    <x v="0"/>
    <x v="0"/>
    <x v="0"/>
    <x v="8"/>
    <n v="0"/>
    <n v="0"/>
    <n v="0.31900000000000001"/>
    <n v="0.29986000000000002"/>
    <n v="0.31900000000000001"/>
    <n v="0.29986000000000002"/>
    <n v="2"/>
    <s v="CATIVO"/>
    <n v="0"/>
    <n v="0"/>
    <n v="32"/>
    <n v="55"/>
    <n v="0"/>
    <n v="303.64999999999998"/>
    <n v="310.5"/>
    <m/>
    <n v="308.67928751372165"/>
    <n v="221.79210547670309"/>
    <n v="0"/>
    <n v="11.754830999999994"/>
    <n v="0"/>
    <n v="10.153222461836723"/>
    <x v="4"/>
  </r>
  <r>
    <s v="Regular"/>
    <x v="2"/>
    <x v="0"/>
    <x v="2"/>
    <x v="7"/>
    <x v="0"/>
    <x v="0"/>
    <x v="0"/>
    <x v="9"/>
    <n v="0"/>
    <n v="0"/>
    <n v="0.32600000000000001"/>
    <n v="0.30643999999999999"/>
    <n v="0.32600000000000001"/>
    <n v="0.30643999999999999"/>
    <n v="2"/>
    <s v="CATIVO"/>
    <n v="0"/>
    <n v="0"/>
    <n v="32"/>
    <n v="55"/>
    <n v="0"/>
    <n v="303.64999999999998"/>
    <n v="310.5"/>
    <m/>
    <n v="308.67928751372165"/>
    <n v="221.79210547670309"/>
    <n v="0"/>
    <n v="12.012774000000013"/>
    <n v="0"/>
    <n v="10.376020446892719"/>
    <x v="4"/>
  </r>
  <r>
    <s v="Regular"/>
    <x v="2"/>
    <x v="0"/>
    <x v="2"/>
    <x v="7"/>
    <x v="0"/>
    <x v="0"/>
    <x v="0"/>
    <x v="10"/>
    <n v="0"/>
    <n v="0"/>
    <n v="0.64200000000000002"/>
    <n v="0.60348000000000002"/>
    <n v="0.64200000000000002"/>
    <n v="0.60348000000000002"/>
    <n v="2"/>
    <s v="CATIVO"/>
    <n v="0"/>
    <n v="0"/>
    <n v="32"/>
    <n v="55"/>
    <n v="0"/>
    <n v="303.64999999999998"/>
    <n v="310.5"/>
    <m/>
    <n v="308.67928751372165"/>
    <n v="221.79210547670309"/>
    <n v="0"/>
    <n v="23.657057999999999"/>
    <n v="0"/>
    <n v="20.43375805799116"/>
    <x v="4"/>
  </r>
  <r>
    <s v="Regular"/>
    <x v="2"/>
    <x v="0"/>
    <x v="2"/>
    <x v="7"/>
    <x v="0"/>
    <x v="0"/>
    <x v="0"/>
    <x v="11"/>
    <n v="0"/>
    <n v="0"/>
    <n v="0.52200000000000002"/>
    <n v="0.49068000000000001"/>
    <n v="0.52200000000000002"/>
    <n v="0.49068000000000001"/>
    <n v="2"/>
    <s v="CATIVO"/>
    <n v="0"/>
    <n v="0"/>
    <n v="32"/>
    <n v="55"/>
    <n v="0"/>
    <n v="303.64999999999998"/>
    <n v="310.5"/>
    <m/>
    <n v="308.67928751372165"/>
    <n v="221.79210547670309"/>
    <n v="0"/>
    <n v="19.235178000000008"/>
    <n v="0"/>
    <n v="16.61436402846010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2F50A-88DE-4F34-8465-1D72565BF45B}" name="Efeito Resumo" cacheId="2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5" indent="0" outline="1" outlineData="1" multipleFieldFilters="0">
  <location ref="A1:J289" firstHeaderRow="0" firstDataRow="1" firstDataCol="1"/>
  <pivotFields count="3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8">
        <item x="3"/>
        <item x="6"/>
        <item x="0"/>
        <item x="4"/>
        <item x="1"/>
        <item x="2"/>
        <item x="5"/>
        <item t="default"/>
      </items>
    </pivotField>
    <pivotField axis="axisRow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axis="axisRow" showAll="0">
      <items count="2">
        <item x="0"/>
        <item t="default"/>
      </items>
    </pivotField>
    <pivotField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9">
    <field x="16"/>
    <field x="1"/>
    <field x="2"/>
    <field x="3"/>
    <field x="4"/>
    <field x="5"/>
    <field x="6"/>
    <field x="7"/>
    <field x="8"/>
  </rowFields>
  <rowItems count="288">
    <i>
      <x/>
    </i>
    <i r="1">
      <x/>
    </i>
    <i r="2">
      <x/>
    </i>
    <i r="3">
      <x v="2"/>
    </i>
    <i r="4">
      <x v="3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2">
      <x v="2"/>
    </i>
    <i r="3">
      <x v="2"/>
    </i>
    <i r="4">
      <x v="3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1"/>
    </i>
    <i r="2">
      <x v="1"/>
    </i>
    <i r="3">
      <x v="4"/>
    </i>
    <i r="4">
      <x v="4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7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8"/>
    </i>
    <i r="5">
      <x v="2"/>
    </i>
    <i r="6">
      <x/>
    </i>
    <i r="7">
      <x v="1"/>
    </i>
    <i r="8">
      <x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2"/>
    </i>
    <i r="2">
      <x v="1"/>
    </i>
    <i r="3">
      <x v="5"/>
    </i>
    <i r="4">
      <x/>
    </i>
    <i r="5">
      <x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5">
      <x v="1"/>
    </i>
    <i r="6">
      <x/>
    </i>
    <i r="7">
      <x v="1"/>
    </i>
    <i r="8">
      <x/>
    </i>
    <i r="8">
      <x v="1"/>
    </i>
    <i r="8">
      <x v="2"/>
    </i>
    <i r="8">
      <x v="5"/>
    </i>
    <i r="8">
      <x v="6"/>
    </i>
    <i r="8">
      <x v="7"/>
    </i>
    <i r="4">
      <x v="3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3"/>
    </i>
    <i r="2">
      <x v="1"/>
    </i>
    <i r="3">
      <x/>
    </i>
    <i r="4">
      <x v="3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2"/>
    </i>
    <i r="4">
      <x v="3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3"/>
    </i>
    <i r="4">
      <x v="3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6"/>
    </i>
    <i r="4">
      <x v="1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4"/>
    </i>
    <i r="2">
      <x v="1"/>
    </i>
    <i r="3">
      <x v="1"/>
    </i>
    <i r="4">
      <x v="2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RA0 ou RV - TUSD (kW)" fld="27" baseField="0" baseItem="0" numFmtId="40"/>
    <dataField name="Soma de RA1 ou RRD - TUSD (kW)" fld="30" baseField="0" baseItem="0" numFmtId="40"/>
    <dataField name="Soma de RA0 ou RV - TUSD (MWh)" fld="28" baseField="0" baseItem="0" numFmtId="40"/>
    <dataField name="Soma de RA1 ou RRD - TUSD (MWh)" fld="31" baseField="0" baseItem="0" numFmtId="40"/>
    <dataField name="Soma de RA0 ou RV - TE (MWh)" fld="29" baseField="0" baseItem="0" numFmtId="40"/>
    <dataField name="Soma de RA1 ou RRD - TE (MWh)" fld="32" baseField="0" baseItem="0" numFmtId="40"/>
    <dataField name="Soma de Variação TUSD" fld="33" baseField="0" baseItem="0" numFmtId="167"/>
    <dataField name="Soma de Variação TE" fld="34" baseField="0" baseItem="0" numFmtId="167"/>
    <dataField name="Soma de Variação" fld="35" baseField="0" baseItem="0" numFmtId="167"/>
  </dataFields>
  <formats count="180">
    <format dxfId="453">
      <pivotArea outline="0" collapsedLevelsAreSubtotals="1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45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51">
      <pivotArea outline="0" collapsedLevelsAreSubtotals="1" fieldPosition="0">
        <references count="1">
          <reference field="4294967294" count="3" selected="0">
            <x v="6"/>
            <x v="7"/>
            <x v="8"/>
          </reference>
        </references>
      </pivotArea>
    </format>
    <format dxfId="450">
      <pivotArea dataOnly="0" labelOnly="1" outline="0" fieldPosition="0">
        <references count="1">
          <reference field="4294967294" count="3">
            <x v="6"/>
            <x v="7"/>
            <x v="8"/>
          </reference>
        </references>
      </pivotArea>
    </format>
    <format dxfId="449">
      <pivotArea type="all" dataOnly="0" outline="0" fieldPosition="0"/>
    </format>
    <format dxfId="448">
      <pivotArea outline="0" collapsedLevelsAreSubtotals="1" fieldPosition="0"/>
    </format>
    <format dxfId="447">
      <pivotArea field="16" type="button" dataOnly="0" labelOnly="1" outline="0" axis="axisRow" fieldPosition="0"/>
    </format>
    <format dxfId="446">
      <pivotArea dataOnly="0" labelOnly="1" fieldPosition="0">
        <references count="1">
          <reference field="16" count="0"/>
        </references>
      </pivotArea>
    </format>
    <format dxfId="445">
      <pivotArea dataOnly="0" labelOnly="1" fieldPosition="0">
        <references count="2">
          <reference field="1" count="0"/>
          <reference field="16" count="0" selected="0"/>
        </references>
      </pivotArea>
    </format>
    <format dxfId="444">
      <pivotArea dataOnly="0" labelOnly="1" fieldPosition="0">
        <references count="3">
          <reference field="1" count="1" selected="0">
            <x v="0"/>
          </reference>
          <reference field="2" count="2">
            <x v="0"/>
            <x v="2"/>
          </reference>
          <reference field="16" count="0" selected="0"/>
        </references>
      </pivotArea>
    </format>
    <format dxfId="443">
      <pivotArea dataOnly="0" labelOnly="1" fieldPosition="0">
        <references count="3">
          <reference field="1" count="1" selected="0">
            <x v="1"/>
          </reference>
          <reference field="2" count="1">
            <x v="1"/>
          </reference>
          <reference field="16" count="0" selected="0"/>
        </references>
      </pivotArea>
    </format>
    <format dxfId="442">
      <pivotArea dataOnly="0" labelOnly="1" fieldPosition="0">
        <references count="3">
          <reference field="1" count="1" selected="0">
            <x v="2"/>
          </reference>
          <reference field="2" count="1">
            <x v="1"/>
          </reference>
          <reference field="16" count="0" selected="0"/>
        </references>
      </pivotArea>
    </format>
    <format dxfId="441">
      <pivotArea dataOnly="0" labelOnly="1" fieldPosition="0">
        <references count="3">
          <reference field="1" count="1" selected="0">
            <x v="3"/>
          </reference>
          <reference field="2" count="1">
            <x v="1"/>
          </reference>
          <reference field="16" count="0" selected="0"/>
        </references>
      </pivotArea>
    </format>
    <format dxfId="440">
      <pivotArea dataOnly="0" labelOnly="1" fieldPosition="0">
        <references count="3">
          <reference field="1" count="1" selected="0">
            <x v="4"/>
          </reference>
          <reference field="2" count="1">
            <x v="1"/>
          </reference>
          <reference field="16" count="0" selected="0"/>
        </references>
      </pivotArea>
    </format>
    <format dxfId="439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>
            <x v="2"/>
          </reference>
          <reference field="16" count="0" selected="0"/>
        </references>
      </pivotArea>
    </format>
    <format dxfId="438">
      <pivotArea dataOnly="0" labelOnly="1" fieldPosition="0">
        <references count="4">
          <reference field="1" count="1" selected="0">
            <x v="0"/>
          </reference>
          <reference field="2" count="1" selected="0">
            <x v="2"/>
          </reference>
          <reference field="3" count="1">
            <x v="2"/>
          </reference>
          <reference field="16" count="0" selected="0"/>
        </references>
      </pivotArea>
    </format>
    <format dxfId="437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>
            <x v="4"/>
          </reference>
          <reference field="16" count="0" selected="0"/>
        </references>
      </pivotArea>
    </format>
    <format dxfId="436">
      <pivotArea dataOnly="0" labelOnly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>
            <x v="5"/>
          </reference>
          <reference field="16" count="0" selected="0"/>
        </references>
      </pivotArea>
    </format>
    <format dxfId="435">
      <pivotArea dataOnly="0" labelOnly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3" count="4">
            <x v="0"/>
            <x v="2"/>
            <x v="3"/>
            <x v="6"/>
          </reference>
          <reference field="16" count="0" selected="0"/>
        </references>
      </pivotArea>
    </format>
    <format dxfId="434">
      <pivotArea dataOnly="0" labelOnly="1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  <reference field="16" count="0" selected="0"/>
        </references>
      </pivotArea>
    </format>
    <format dxfId="433">
      <pivotArea dataOnly="0" labelOnly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3"/>
          </reference>
          <reference field="16" count="0" selected="0"/>
        </references>
      </pivotArea>
    </format>
    <format dxfId="432">
      <pivotArea dataOnly="0" labelOnly="1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3"/>
          </reference>
          <reference field="16" count="0" selected="0"/>
        </references>
      </pivotArea>
    </format>
    <format dxfId="431">
      <pivotArea dataOnly="0" labelOnly="1" fieldPosition="0">
        <references count="5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5">
            <x v="4"/>
            <x v="5"/>
            <x v="6"/>
            <x v="7"/>
            <x v="8"/>
          </reference>
          <reference field="16" count="0" selected="0"/>
        </references>
      </pivotArea>
    </format>
    <format dxfId="430">
      <pivotArea dataOnly="0" labelOnly="1" fieldPosition="0">
        <references count="5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2">
            <x v="0"/>
            <x v="3"/>
          </reference>
          <reference field="16" count="0" selected="0"/>
        </references>
      </pivotArea>
    </format>
    <format dxfId="429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3"/>
          </reference>
          <reference field="16" count="0" selected="0"/>
        </references>
      </pivotArea>
    </format>
    <format dxfId="428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"/>
          </reference>
          <reference field="16" count="0" selected="0"/>
        </references>
      </pivotArea>
    </format>
    <format dxfId="427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3"/>
          </reference>
          <reference field="16" count="0" selected="0"/>
        </references>
      </pivotArea>
    </format>
    <format dxfId="426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>
            <x v="1"/>
          </reference>
          <reference field="16" count="0" selected="0"/>
        </references>
      </pivotArea>
    </format>
    <format dxfId="425">
      <pivotArea dataOnly="0" labelOnly="1" fieldPosition="0">
        <references count="5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2"/>
          </reference>
          <reference field="16" count="0" selected="0"/>
        </references>
      </pivotArea>
    </format>
    <format dxfId="424">
      <pivotArea dataOnly="0" labelOnly="1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23">
      <pivotArea dataOnly="0" labelOnly="1" fieldPosition="0">
        <references count="6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22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421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>
            <x v="2"/>
          </reference>
          <reference field="16" count="0" selected="0"/>
        </references>
      </pivotArea>
    </format>
    <format dxfId="420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>
            <x v="2"/>
          </reference>
          <reference field="16" count="0" selected="0"/>
        </references>
      </pivotArea>
    </format>
    <format dxfId="419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1">
            <x v="2"/>
          </reference>
          <reference field="16" count="0" selected="0"/>
        </references>
      </pivotArea>
    </format>
    <format dxfId="418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8"/>
          </reference>
          <reference field="5" count="1">
            <x v="2"/>
          </reference>
          <reference field="16" count="0" selected="0"/>
        </references>
      </pivotArea>
    </format>
    <format dxfId="417">
      <pivotArea dataOnly="0" labelOnly="1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2">
            <x v="0"/>
            <x v="1"/>
          </reference>
          <reference field="16" count="0" selected="0"/>
        </references>
      </pivotArea>
    </format>
    <format dxfId="416">
      <pivotArea dataOnly="0" labelOnly="1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15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14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13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412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>
            <x v="2"/>
          </reference>
          <reference field="16" count="0" selected="0"/>
        </references>
      </pivotArea>
    </format>
    <format dxfId="411">
      <pivotArea dataOnly="0" labelOnly="1" fieldPosition="0">
        <references count="6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410">
      <pivotArea dataOnly="0" labelOnly="1" fieldPosition="0">
        <references count="7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09">
      <pivotArea dataOnly="0" labelOnly="1" fieldPosition="0">
        <references count="7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08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07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06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05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04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8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03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/>
          <reference field="16" count="0" selected="0"/>
        </references>
      </pivotArea>
    </format>
    <format dxfId="402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/>
          <reference field="16" count="0" selected="0"/>
        </references>
      </pivotArea>
    </format>
    <format dxfId="401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400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99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98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97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96">
      <pivotArea dataOnly="0" labelOnly="1" fieldPosition="0">
        <references count="7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95">
      <pivotArea dataOnly="0" labelOnly="1" fieldPosition="0">
        <references count="8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2">
            <x v="0"/>
            <x v="2"/>
          </reference>
          <reference field="16" count="0" selected="0"/>
        </references>
      </pivotArea>
    </format>
    <format dxfId="394">
      <pivotArea dataOnly="0" labelOnly="1" fieldPosition="0">
        <references count="8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/>
          <reference field="16" count="0" selected="0"/>
        </references>
      </pivotArea>
    </format>
    <format dxfId="393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92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91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90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9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8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8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7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6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5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4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3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2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1">
      <pivotArea dataOnly="0" labelOnly="1" fieldPosition="0">
        <references count="8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80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379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78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377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76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75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74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73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72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71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8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10">
            <x v="0"/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370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1" selected="0">
            <x v="1"/>
          </reference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16" count="0" selected="0"/>
        </references>
      </pivotArea>
    </format>
    <format dxfId="369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1" selected="0">
            <x v="1"/>
          </reference>
          <reference field="8" count="6">
            <x v="0"/>
            <x v="1"/>
            <x v="2"/>
            <x v="5"/>
            <x v="6"/>
            <x v="7"/>
          </reference>
          <reference field="16" count="0" selected="0"/>
        </references>
      </pivotArea>
    </format>
    <format dxfId="368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67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66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65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64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63">
      <pivotArea dataOnly="0" labelOnly="1" fieldPosition="0">
        <references count="9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6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61">
      <pivotArea type="all" dataOnly="0" outline="0" fieldPosition="0"/>
    </format>
    <format dxfId="360">
      <pivotArea outline="0" collapsedLevelsAreSubtotals="1" fieldPosition="0"/>
    </format>
    <format dxfId="359">
      <pivotArea field="16" type="button" dataOnly="0" labelOnly="1" outline="0" axis="axisRow" fieldPosition="0"/>
    </format>
    <format dxfId="358">
      <pivotArea dataOnly="0" labelOnly="1" fieldPosition="0">
        <references count="1">
          <reference field="16" count="0"/>
        </references>
      </pivotArea>
    </format>
    <format dxfId="357">
      <pivotArea dataOnly="0" labelOnly="1" fieldPosition="0">
        <references count="2">
          <reference field="1" count="0"/>
          <reference field="16" count="0" selected="0"/>
        </references>
      </pivotArea>
    </format>
    <format dxfId="356">
      <pivotArea dataOnly="0" labelOnly="1" fieldPosition="0">
        <references count="3">
          <reference field="1" count="1" selected="0">
            <x v="0"/>
          </reference>
          <reference field="2" count="2">
            <x v="0"/>
            <x v="2"/>
          </reference>
          <reference field="16" count="0" selected="0"/>
        </references>
      </pivotArea>
    </format>
    <format dxfId="355">
      <pivotArea dataOnly="0" labelOnly="1" fieldPosition="0">
        <references count="3">
          <reference field="1" count="1" selected="0">
            <x v="1"/>
          </reference>
          <reference field="2" count="1">
            <x v="1"/>
          </reference>
          <reference field="16" count="0" selected="0"/>
        </references>
      </pivotArea>
    </format>
    <format dxfId="354">
      <pivotArea dataOnly="0" labelOnly="1" fieldPosition="0">
        <references count="3">
          <reference field="1" count="1" selected="0">
            <x v="2"/>
          </reference>
          <reference field="2" count="1">
            <x v="1"/>
          </reference>
          <reference field="16" count="0" selected="0"/>
        </references>
      </pivotArea>
    </format>
    <format dxfId="353">
      <pivotArea dataOnly="0" labelOnly="1" fieldPosition="0">
        <references count="3">
          <reference field="1" count="1" selected="0">
            <x v="3"/>
          </reference>
          <reference field="2" count="1">
            <x v="1"/>
          </reference>
          <reference field="16" count="0" selected="0"/>
        </references>
      </pivotArea>
    </format>
    <format dxfId="352">
      <pivotArea dataOnly="0" labelOnly="1" fieldPosition="0">
        <references count="3">
          <reference field="1" count="1" selected="0">
            <x v="4"/>
          </reference>
          <reference field="2" count="1">
            <x v="1"/>
          </reference>
          <reference field="16" count="0" selected="0"/>
        </references>
      </pivotArea>
    </format>
    <format dxfId="351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>
            <x v="2"/>
          </reference>
          <reference field="16" count="0" selected="0"/>
        </references>
      </pivotArea>
    </format>
    <format dxfId="350">
      <pivotArea dataOnly="0" labelOnly="1" fieldPosition="0">
        <references count="4">
          <reference field="1" count="1" selected="0">
            <x v="0"/>
          </reference>
          <reference field="2" count="1" selected="0">
            <x v="2"/>
          </reference>
          <reference field="3" count="1">
            <x v="2"/>
          </reference>
          <reference field="16" count="0" selected="0"/>
        </references>
      </pivotArea>
    </format>
    <format dxfId="349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>
            <x v="4"/>
          </reference>
          <reference field="16" count="0" selected="0"/>
        </references>
      </pivotArea>
    </format>
    <format dxfId="348">
      <pivotArea dataOnly="0" labelOnly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>
            <x v="5"/>
          </reference>
          <reference field="16" count="0" selected="0"/>
        </references>
      </pivotArea>
    </format>
    <format dxfId="347">
      <pivotArea dataOnly="0" labelOnly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3" count="4">
            <x v="0"/>
            <x v="2"/>
            <x v="3"/>
            <x v="6"/>
          </reference>
          <reference field="16" count="0" selected="0"/>
        </references>
      </pivotArea>
    </format>
    <format dxfId="346">
      <pivotArea dataOnly="0" labelOnly="1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  <reference field="16" count="0" selected="0"/>
        </references>
      </pivotArea>
    </format>
    <format dxfId="345">
      <pivotArea dataOnly="0" labelOnly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3"/>
          </reference>
          <reference field="16" count="0" selected="0"/>
        </references>
      </pivotArea>
    </format>
    <format dxfId="344">
      <pivotArea dataOnly="0" labelOnly="1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3"/>
          </reference>
          <reference field="16" count="0" selected="0"/>
        </references>
      </pivotArea>
    </format>
    <format dxfId="343">
      <pivotArea dataOnly="0" labelOnly="1" fieldPosition="0">
        <references count="5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5">
            <x v="4"/>
            <x v="5"/>
            <x v="6"/>
            <x v="7"/>
            <x v="8"/>
          </reference>
          <reference field="16" count="0" selected="0"/>
        </references>
      </pivotArea>
    </format>
    <format dxfId="342">
      <pivotArea dataOnly="0" labelOnly="1" fieldPosition="0">
        <references count="5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2">
            <x v="0"/>
            <x v="3"/>
          </reference>
          <reference field="16" count="0" selected="0"/>
        </references>
      </pivotArea>
    </format>
    <format dxfId="341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3"/>
          </reference>
          <reference field="16" count="0" selected="0"/>
        </references>
      </pivotArea>
    </format>
    <format dxfId="340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"/>
          </reference>
          <reference field="16" count="0" selected="0"/>
        </references>
      </pivotArea>
    </format>
    <format dxfId="339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3"/>
          </reference>
          <reference field="16" count="0" selected="0"/>
        </references>
      </pivotArea>
    </format>
    <format dxfId="338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>
            <x v="1"/>
          </reference>
          <reference field="16" count="0" selected="0"/>
        </references>
      </pivotArea>
    </format>
    <format dxfId="337">
      <pivotArea dataOnly="0" labelOnly="1" fieldPosition="0">
        <references count="5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2"/>
          </reference>
          <reference field="16" count="0" selected="0"/>
        </references>
      </pivotArea>
    </format>
    <format dxfId="336">
      <pivotArea dataOnly="0" labelOnly="1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35">
      <pivotArea dataOnly="0" labelOnly="1" fieldPosition="0">
        <references count="6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34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333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>
            <x v="2"/>
          </reference>
          <reference field="16" count="0" selected="0"/>
        </references>
      </pivotArea>
    </format>
    <format dxfId="332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>
            <x v="2"/>
          </reference>
          <reference field="16" count="0" selected="0"/>
        </references>
      </pivotArea>
    </format>
    <format dxfId="331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1">
            <x v="2"/>
          </reference>
          <reference field="16" count="0" selected="0"/>
        </references>
      </pivotArea>
    </format>
    <format dxfId="330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8"/>
          </reference>
          <reference field="5" count="1">
            <x v="2"/>
          </reference>
          <reference field="16" count="0" selected="0"/>
        </references>
      </pivotArea>
    </format>
    <format dxfId="329">
      <pivotArea dataOnly="0" labelOnly="1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2">
            <x v="0"/>
            <x v="1"/>
          </reference>
          <reference field="16" count="0" selected="0"/>
        </references>
      </pivotArea>
    </format>
    <format dxfId="328">
      <pivotArea dataOnly="0" labelOnly="1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27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26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25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324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>
            <x v="2"/>
          </reference>
          <reference field="16" count="0" selected="0"/>
        </references>
      </pivotArea>
    </format>
    <format dxfId="323">
      <pivotArea dataOnly="0" labelOnly="1" fieldPosition="0">
        <references count="6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322">
      <pivotArea dataOnly="0" labelOnly="1" fieldPosition="0">
        <references count="7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1">
      <pivotArea dataOnly="0" labelOnly="1" fieldPosition="0">
        <references count="7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20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9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8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7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6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8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5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/>
          <reference field="16" count="0" selected="0"/>
        </references>
      </pivotArea>
    </format>
    <format dxfId="314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/>
          <reference field="16" count="0" selected="0"/>
        </references>
      </pivotArea>
    </format>
    <format dxfId="313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2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1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10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09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08">
      <pivotArea dataOnly="0" labelOnly="1" fieldPosition="0">
        <references count="7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307">
      <pivotArea dataOnly="0" labelOnly="1" fieldPosition="0">
        <references count="8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2">
            <x v="0"/>
            <x v="2"/>
          </reference>
          <reference field="16" count="0" selected="0"/>
        </references>
      </pivotArea>
    </format>
    <format dxfId="306">
      <pivotArea dataOnly="0" labelOnly="1" fieldPosition="0">
        <references count="8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/>
          <reference field="16" count="0" selected="0"/>
        </references>
      </pivotArea>
    </format>
    <format dxfId="305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04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03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02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01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8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300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99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98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97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96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95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94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93">
      <pivotArea dataOnly="0" labelOnly="1" fieldPosition="0">
        <references count="8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92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91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90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89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88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87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86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85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84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83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8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10">
            <x v="0"/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282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1" selected="0">
            <x v="1"/>
          </reference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16" count="0" selected="0"/>
        </references>
      </pivotArea>
    </format>
    <format dxfId="281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1" selected="0">
            <x v="1"/>
          </reference>
          <reference field="8" count="6">
            <x v="0"/>
            <x v="1"/>
            <x v="2"/>
            <x v="5"/>
            <x v="6"/>
            <x v="7"/>
          </reference>
          <reference field="16" count="0" selected="0"/>
        </references>
      </pivotArea>
    </format>
    <format dxfId="280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79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78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77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76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75">
      <pivotArea dataOnly="0" labelOnly="1" fieldPosition="0">
        <references count="9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7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5801A-6883-4766-BB27-60994E34BBE4}" name="Subsidio Resumo" cacheId="2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5" indent="0" outline="1" outlineData="1" multipleFieldFilters="0">
  <location ref="A1:G143" firstHeaderRow="0" firstDataRow="1" firstDataCol="1"/>
  <pivotFields count="3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5"/>
        <item x="7"/>
        <item x="6"/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showAll="0"/>
    <pivotField showAll="0"/>
    <pivotField numFmtId="40" showAll="0"/>
    <pivotField numFmtId="40" showAll="0"/>
    <pivotField numFmtId="40" showAll="0"/>
    <pivotField showAll="0"/>
    <pivotField numFmtId="40" showAll="0"/>
    <pivotField numFmtId="40" showAll="0"/>
    <pivotField dataField="1" numFmtId="40" showAll="0"/>
    <pivotField dataField="1" numFmtId="40" showAll="0"/>
    <pivotField dataField="1" numFmtId="40" showAll="0"/>
    <pivotField dataField="1" numFmtId="40" showAll="0"/>
    <pivotField axis="axisRow" showAll="0">
      <items count="6">
        <item x="4"/>
        <item x="1"/>
        <item x="3"/>
        <item x="2"/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9">
    <field x="31"/>
    <field x="1"/>
    <field x="2"/>
    <field x="3"/>
    <field x="4"/>
    <field x="5"/>
    <field x="6"/>
    <field x="7"/>
    <field x="8"/>
  </rowFields>
  <rowItems count="142">
    <i>
      <x/>
    </i>
    <i r="1">
      <x v="2"/>
    </i>
    <i r="2">
      <x/>
    </i>
    <i r="3">
      <x v="2"/>
    </i>
    <i r="4">
      <x v="1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1"/>
    </i>
    <i r="1">
      <x/>
    </i>
    <i r="2">
      <x/>
    </i>
    <i r="3">
      <x/>
    </i>
    <i r="4">
      <x v="4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7"/>
    </i>
    <i r="5">
      <x v="2"/>
    </i>
    <i r="6">
      <x/>
    </i>
    <i r="7">
      <x/>
    </i>
    <i r="8">
      <x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2"/>
    </i>
    <i r="1">
      <x v="1"/>
    </i>
    <i r="2">
      <x/>
    </i>
    <i r="3">
      <x v="1"/>
    </i>
    <i r="4">
      <x/>
    </i>
    <i r="5">
      <x v="1"/>
    </i>
    <i r="6">
      <x/>
    </i>
    <i r="7">
      <x/>
    </i>
    <i r="8">
      <x/>
    </i>
    <i r="8">
      <x v="1"/>
    </i>
    <i r="8">
      <x v="2"/>
    </i>
    <i r="8">
      <x v="5"/>
    </i>
    <i r="8">
      <x v="6"/>
    </i>
    <i r="8">
      <x v="7"/>
    </i>
    <i>
      <x v="3"/>
    </i>
    <i r="1">
      <x v="1"/>
    </i>
    <i r="2">
      <x/>
    </i>
    <i r="3">
      <x v="1"/>
    </i>
    <i r="4">
      <x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4">
      <x v="2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4"/>
    </i>
    <i r="1">
      <x/>
    </i>
    <i r="2">
      <x/>
    </i>
    <i r="3">
      <x/>
    </i>
    <i r="4">
      <x v="3"/>
    </i>
    <i r="5">
      <x v="2"/>
    </i>
    <i r="6">
      <x/>
    </i>
    <i r="7">
      <x/>
    </i>
    <i r="8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UBSIDIO kW - TV" fld="27" baseField="0" baseItem="0"/>
    <dataField name="Soma de SUBSIDIO MWh - TV" fld="28" baseField="0" baseItem="0"/>
    <dataField name="Soma de SUBSIDIO kW - TN" fld="29" baseField="0" baseItem="0"/>
    <dataField name="Soma de SUBSIDIO MWh - TN" fld="30" baseField="0" baseItem="0"/>
    <dataField name="Soma de TOTAL TV" fld="32" baseField="0" baseItem="0" numFmtId="40"/>
    <dataField name="Soma de TOTAL TN" fld="33" baseField="0" baseItem="0" numFmtId="40"/>
  </dataFields>
  <formats count="124">
    <format dxfId="273">
      <pivotArea outline="0" collapsedLevelsAreSubtotals="1" fieldPosition="0"/>
    </format>
    <format dxfId="27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71">
      <pivotArea type="all" dataOnly="0" outline="0" fieldPosition="0"/>
    </format>
    <format dxfId="270">
      <pivotArea outline="0" collapsedLevelsAreSubtotals="1" fieldPosition="0"/>
    </format>
    <format dxfId="269">
      <pivotArea field="31" type="button" dataOnly="0" labelOnly="1" outline="0" axis="axisRow" fieldPosition="0"/>
    </format>
    <format dxfId="268">
      <pivotArea dataOnly="0" labelOnly="1" fieldPosition="0">
        <references count="1">
          <reference field="31" count="0"/>
        </references>
      </pivotArea>
    </format>
    <format dxfId="267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266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265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264">
      <pivotArea dataOnly="0" labelOnly="1" fieldPosition="0">
        <references count="2">
          <reference field="1" count="1">
            <x v="1"/>
          </reference>
          <reference field="31" count="1" selected="0">
            <x v="3"/>
          </reference>
        </references>
      </pivotArea>
    </format>
    <format dxfId="263">
      <pivotArea dataOnly="0" labelOnly="1" fieldPosition="0">
        <references count="2">
          <reference field="1" count="1">
            <x v="0"/>
          </reference>
          <reference field="31" count="1" selected="0">
            <x v="4"/>
          </reference>
        </references>
      </pivotArea>
    </format>
    <format dxfId="262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261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260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259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3"/>
          </reference>
        </references>
      </pivotArea>
    </format>
    <format dxfId="258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4"/>
          </reference>
        </references>
      </pivotArea>
    </format>
    <format dxfId="257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256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255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254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3"/>
          </reference>
        </references>
      </pivotArea>
    </format>
    <format dxfId="253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4"/>
          </reference>
        </references>
      </pivotArea>
    </format>
    <format dxfId="252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1"/>
          </reference>
          <reference field="31" count="1" selected="0">
            <x v="0"/>
          </reference>
        </references>
      </pivotArea>
    </format>
    <format dxfId="251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4"/>
            <x v="5"/>
            <x v="6"/>
            <x v="7"/>
          </reference>
          <reference field="31" count="1" selected="0">
            <x v="1"/>
          </reference>
        </references>
      </pivotArea>
    </format>
    <format dxfId="250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0"/>
          </reference>
          <reference field="31" count="1" selected="0">
            <x v="2"/>
          </reference>
        </references>
      </pivotArea>
    </format>
    <format dxfId="249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2">
            <x v="0"/>
            <x v="2"/>
          </reference>
          <reference field="31" count="1" selected="0">
            <x v="3"/>
          </reference>
        </references>
      </pivotArea>
    </format>
    <format dxfId="248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3"/>
          </reference>
          <reference field="31" count="1" selected="0">
            <x v="4"/>
          </reference>
        </references>
      </pivotArea>
    </format>
    <format dxfId="247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246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24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24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243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242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>
            <x v="1"/>
          </reference>
          <reference field="31" count="1" selected="0">
            <x v="2"/>
          </reference>
        </references>
      </pivotArea>
    </format>
    <format dxfId="241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>
            <x v="0"/>
          </reference>
          <reference field="31" count="1" selected="0">
            <x v="3"/>
          </reference>
        </references>
      </pivotArea>
    </format>
    <format dxfId="240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>
            <x v="2"/>
          </reference>
          <reference field="31" count="1" selected="0">
            <x v="3"/>
          </reference>
        </references>
      </pivotArea>
    </format>
    <format dxfId="239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31" count="1" selected="0">
            <x v="4"/>
          </reference>
        </references>
      </pivotArea>
    </format>
    <format dxfId="238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23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236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235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234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233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/>
          <reference field="31" count="1" selected="0">
            <x v="2"/>
          </reference>
        </references>
      </pivotArea>
    </format>
    <format dxfId="232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/>
          <reference field="31" count="1" selected="0">
            <x v="3"/>
          </reference>
        </references>
      </pivotArea>
    </format>
    <format dxfId="231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31" count="1" selected="0">
            <x v="3"/>
          </reference>
        </references>
      </pivotArea>
    </format>
    <format dxfId="230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31" count="1" selected="0">
            <x v="4"/>
          </reference>
        </references>
      </pivotArea>
    </format>
    <format dxfId="229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228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227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226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225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224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0"/>
          <reference field="31" count="1" selected="0">
            <x v="2"/>
          </reference>
        </references>
      </pivotArea>
    </format>
    <format dxfId="223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222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221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4"/>
          </reference>
        </references>
      </pivotArea>
    </format>
    <format dxfId="220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219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218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217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216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0" selected="0"/>
          <reference field="8" count="10">
            <x v="0"/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215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0" selected="0"/>
          <reference field="8" count="6">
            <x v="0"/>
            <x v="1"/>
            <x v="2"/>
            <x v="5"/>
            <x v="6"/>
            <x v="7"/>
          </reference>
          <reference field="31" count="1" selected="0">
            <x v="2"/>
          </reference>
        </references>
      </pivotArea>
    </format>
    <format dxfId="214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0" selected="0"/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31" count="1" selected="0">
            <x v="3"/>
          </reference>
        </references>
      </pivotArea>
    </format>
    <format dxfId="213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3"/>
          </reference>
        </references>
      </pivotArea>
    </format>
    <format dxfId="212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 selected="0"/>
          <reference field="8" count="1">
            <x v="0"/>
          </reference>
          <reference field="31" count="1" selected="0">
            <x v="4"/>
          </reference>
        </references>
      </pivotArea>
    </format>
    <format dxfId="21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31" type="button" dataOnly="0" labelOnly="1" outline="0" axis="axisRow" fieldPosition="0"/>
    </format>
    <format dxfId="207">
      <pivotArea dataOnly="0" labelOnly="1" fieldPosition="0">
        <references count="1">
          <reference field="31" count="0"/>
        </references>
      </pivotArea>
    </format>
    <format dxfId="206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205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204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203">
      <pivotArea dataOnly="0" labelOnly="1" fieldPosition="0">
        <references count="2">
          <reference field="1" count="1">
            <x v="1"/>
          </reference>
          <reference field="31" count="1" selected="0">
            <x v="3"/>
          </reference>
        </references>
      </pivotArea>
    </format>
    <format dxfId="202">
      <pivotArea dataOnly="0" labelOnly="1" fieldPosition="0">
        <references count="2">
          <reference field="1" count="1">
            <x v="0"/>
          </reference>
          <reference field="31" count="1" selected="0">
            <x v="4"/>
          </reference>
        </references>
      </pivotArea>
    </format>
    <format dxfId="201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200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199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198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3"/>
          </reference>
        </references>
      </pivotArea>
    </format>
    <format dxfId="197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4"/>
          </reference>
        </references>
      </pivotArea>
    </format>
    <format dxfId="196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195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194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193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3"/>
          </reference>
        </references>
      </pivotArea>
    </format>
    <format dxfId="192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4"/>
          </reference>
        </references>
      </pivotArea>
    </format>
    <format dxfId="191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1"/>
          </reference>
          <reference field="31" count="1" selected="0">
            <x v="0"/>
          </reference>
        </references>
      </pivotArea>
    </format>
    <format dxfId="190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4"/>
            <x v="5"/>
            <x v="6"/>
            <x v="7"/>
          </reference>
          <reference field="31" count="1" selected="0">
            <x v="1"/>
          </reference>
        </references>
      </pivotArea>
    </format>
    <format dxfId="189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0"/>
          </reference>
          <reference field="31" count="1" selected="0">
            <x v="2"/>
          </reference>
        </references>
      </pivotArea>
    </format>
    <format dxfId="188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2">
            <x v="0"/>
            <x v="2"/>
          </reference>
          <reference field="31" count="1" selected="0">
            <x v="3"/>
          </reference>
        </references>
      </pivotArea>
    </format>
    <format dxfId="187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3"/>
          </reference>
          <reference field="31" count="1" selected="0">
            <x v="4"/>
          </reference>
        </references>
      </pivotArea>
    </format>
    <format dxfId="186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18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18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183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182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>
            <x v="2"/>
          </reference>
          <reference field="31" count="1" selected="0">
            <x v="1"/>
          </reference>
        </references>
      </pivotArea>
    </format>
    <format dxfId="181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>
            <x v="1"/>
          </reference>
          <reference field="31" count="1" selected="0">
            <x v="2"/>
          </reference>
        </references>
      </pivotArea>
    </format>
    <format dxfId="180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>
            <x v="0"/>
          </reference>
          <reference field="31" count="1" selected="0">
            <x v="3"/>
          </reference>
        </references>
      </pivotArea>
    </format>
    <format dxfId="179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>
            <x v="2"/>
          </reference>
          <reference field="31" count="1" selected="0">
            <x v="3"/>
          </reference>
        </references>
      </pivotArea>
    </format>
    <format dxfId="178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31" count="1" selected="0">
            <x v="4"/>
          </reference>
        </references>
      </pivotArea>
    </format>
    <format dxfId="177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176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175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174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173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31" count="1" selected="0">
            <x v="1"/>
          </reference>
        </references>
      </pivotArea>
    </format>
    <format dxfId="172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/>
          <reference field="31" count="1" selected="0">
            <x v="2"/>
          </reference>
        </references>
      </pivotArea>
    </format>
    <format dxfId="171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/>
          <reference field="31" count="1" selected="0">
            <x v="3"/>
          </reference>
        </references>
      </pivotArea>
    </format>
    <format dxfId="170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31" count="1" selected="0">
            <x v="3"/>
          </reference>
        </references>
      </pivotArea>
    </format>
    <format dxfId="169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31" count="1" selected="0">
            <x v="4"/>
          </reference>
        </references>
      </pivotArea>
    </format>
    <format dxfId="168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167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166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165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164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163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0"/>
          <reference field="31" count="1" selected="0">
            <x v="2"/>
          </reference>
        </references>
      </pivotArea>
    </format>
    <format dxfId="162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161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160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4"/>
          </reference>
        </references>
      </pivotArea>
    </format>
    <format dxfId="159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158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57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56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55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0" selected="0"/>
          <reference field="8" count="10">
            <x v="0"/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154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0" selected="0"/>
          <reference field="8" count="6">
            <x v="0"/>
            <x v="1"/>
            <x v="2"/>
            <x v="5"/>
            <x v="6"/>
            <x v="7"/>
          </reference>
          <reference field="31" count="1" selected="0">
            <x v="2"/>
          </reference>
        </references>
      </pivotArea>
    </format>
    <format dxfId="153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0" selected="0"/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31" count="1" selected="0">
            <x v="3"/>
          </reference>
        </references>
      </pivotArea>
    </format>
    <format dxfId="152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3"/>
          </reference>
        </references>
      </pivotArea>
    </format>
    <format dxfId="151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 selected="0"/>
          <reference field="8" count="1">
            <x v="0"/>
          </reference>
          <reference field="31" count="1" selected="0">
            <x v="4"/>
          </reference>
        </references>
      </pivotArea>
    </format>
    <format dxfId="1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5F1F668-0C0A-40E0-9A4D-26EF6479C63E}" autoFormatId="0" applyNumberFormats="0" applyBorderFormats="0" applyFontFormats="1" applyPatternFormats="1" applyAlignmentFormats="0" applyWidthHeightFormats="0">
  <queryTableRefresh nextId="46">
    <queryTableFields count="45">
      <queryTableField id="1" name="SUBGRUPO" tableColumnId="46"/>
      <queryTableField id="2" name="MODALIDADE" tableColumnId="47"/>
      <queryTableField id="3" name="CLASSE" tableColumnId="48"/>
      <queryTableField id="4" name="SUBCLASSE" tableColumnId="49"/>
      <queryTableField id="5" name="DETALHE" tableColumnId="50"/>
      <queryTableField id="6" name="POSTO" tableColumnId="51"/>
      <queryTableField id="7" name="UNIDADE" tableColumnId="52"/>
      <queryTableField id="8" name="ACESSANTE" tableColumnId="53"/>
      <queryTableField id="9" name="Total TUSD" tableColumnId="54"/>
      <queryTableField id="10" name="Total TE" tableColumnId="55"/>
      <queryTableField id="11" name="TUSD_CDE_COVID" tableColumnId="56"/>
      <queryTableField id="12" name="TUSD_TFSEE" tableColumnId="57"/>
      <queryTableField id="13" name="TUSD_PeD" tableColumnId="58"/>
      <queryTableField id="14" name="TUSD_ONS" tableColumnId="59"/>
      <queryTableField id="15" name="TUSD_CCC" tableColumnId="60"/>
      <queryTableField id="16" name="TUSD_CDE" tableColumnId="61"/>
      <queryTableField id="17" name="TUSD_PROINFA" tableColumnId="62"/>
      <queryTableField id="18" name="Liminar1" tableColumnId="63"/>
      <queryTableField id="19" name="TUSD_RB" tableColumnId="64"/>
      <queryTableField id="20" name="TUSD_FR" tableColumnId="65"/>
      <queryTableField id="21" name="TUSD_CCT" tableColumnId="66"/>
      <queryTableField id="22" name="TUSD_CCD" tableColumnId="67"/>
      <queryTableField id="23" name="TUSD_CUSD" tableColumnId="68"/>
      <queryTableField id="24" name="TUSDG_T" tableColumnId="69"/>
      <queryTableField id="25" name="TUSDG_ONS" tableColumnId="70"/>
      <queryTableField id="26" name="TUSD_FioB" tableColumnId="71"/>
      <queryTableField id="27" name="TUSD Subsidio" tableColumnId="72"/>
      <queryTableField id="28" name="TUSD BENEFICIO_L14299" tableColumnId="73"/>
      <queryTableField id="29" name="TUSD Outros" tableColumnId="74"/>
      <queryTableField id="30" name="TUSD_PT" tableColumnId="75"/>
      <queryTableField id="31" name="TUSD_Per_RB_D" tableColumnId="76"/>
      <queryTableField id="32" name="TUSD_PNT" tableColumnId="77"/>
      <queryTableField id="33" name="TUSD_RI" tableColumnId="78"/>
      <queryTableField id="34" name="TE_CDE_COVID" tableColumnId="79"/>
      <queryTableField id="35" name="TE_CDE_ELET" tableColumnId="80"/>
      <queryTableField id="36" name="TE_PeD" tableColumnId="81"/>
      <queryTableField id="37" name="TE_ESSERR" tableColumnId="82"/>
      <queryTableField id="38" name="TE_CFURH" tableColumnId="83"/>
      <queryTableField id="39" name="TE_ENERGIA" tableColumnId="84"/>
      <queryTableField id="40" name="TE_TRANSPORTE_ITAIPU" tableColumnId="85"/>
      <queryTableField id="41" name="TE_TUST_ITAIPU" tableColumnId="86"/>
      <queryTableField id="42" name="TE_TUST_CI" tableColumnId="87"/>
      <queryTableField id="43" name="TE Subsidio" tableColumnId="88"/>
      <queryTableField id="44" name="TE BENEFICIO_L14299" tableColumnId="89"/>
      <queryTableField id="45" name="TE_Per_RB" tableColumnId="9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BC9C23C-AFF2-4AD1-A6E3-E0B4F67550E0}" autoFormatId="0" applyNumberFormats="0" applyBorderFormats="0" applyFontFormats="1" applyPatternFormats="1" applyAlignmentFormats="0" applyWidthHeightFormats="0">
  <queryTableRefresh nextId="46">
    <queryTableFields count="45">
      <queryTableField id="1" name="SUBGRUPO" tableColumnId="46"/>
      <queryTableField id="2" name="MODALIDADE" tableColumnId="47"/>
      <queryTableField id="3" name="CLASSE" tableColumnId="48"/>
      <queryTableField id="4" name="SUBCLASSE" tableColumnId="49"/>
      <queryTableField id="5" name="DETALHE" tableColumnId="50"/>
      <queryTableField id="6" name="POSTO" tableColumnId="51"/>
      <queryTableField id="7" name="UNIDADE" tableColumnId="52"/>
      <queryTableField id="8" name="ACESSANTE" tableColumnId="53"/>
      <queryTableField id="9" name="Total TUSD" tableColumnId="54"/>
      <queryTableField id="10" name="Total TE" tableColumnId="55"/>
      <queryTableField id="11" name="TUSD_CDE_COVID" tableColumnId="56"/>
      <queryTableField id="12" name="TUSD_TFSEE" tableColumnId="57"/>
      <queryTableField id="13" name="TUSD_PeD" tableColumnId="58"/>
      <queryTableField id="14" name="TUSD_ONS" tableColumnId="59"/>
      <queryTableField id="15" name="TUSD_CCC" tableColumnId="60"/>
      <queryTableField id="16" name="TUSD_CDE" tableColumnId="61"/>
      <queryTableField id="17" name="TUSD_PROINFA" tableColumnId="62"/>
      <queryTableField id="18" name="Liminar1" tableColumnId="63"/>
      <queryTableField id="19" name="TUSD_RB" tableColumnId="64"/>
      <queryTableField id="20" name="TUSD_FR" tableColumnId="65"/>
      <queryTableField id="21" name="TUSD_CCT" tableColumnId="66"/>
      <queryTableField id="22" name="TUSD_CCD" tableColumnId="67"/>
      <queryTableField id="23" name="TUSD_CUSD" tableColumnId="68"/>
      <queryTableField id="24" name="TUSDG_T" tableColumnId="69"/>
      <queryTableField id="25" name="TUSDG_ONS" tableColumnId="70"/>
      <queryTableField id="26" name="TUSD_FioB" tableColumnId="71"/>
      <queryTableField id="27" name="TUSD Subsidio" tableColumnId="72"/>
      <queryTableField id="28" name="TUSD BENEFICIO_L14299" tableColumnId="73"/>
      <queryTableField id="29" name="TUSD Outros" tableColumnId="74"/>
      <queryTableField id="30" name="TUSD_PT" tableColumnId="75"/>
      <queryTableField id="31" name="TUSD_Per_RB_D" tableColumnId="76"/>
      <queryTableField id="32" name="TUSD_PNT" tableColumnId="77"/>
      <queryTableField id="33" name="TUSD_RI" tableColumnId="78"/>
      <queryTableField id="34" name="TE_CDE_COVID" tableColumnId="79"/>
      <queryTableField id="35" name="TE_CDE_ELET" tableColumnId="80"/>
      <queryTableField id="36" name="TE_PeD" tableColumnId="81"/>
      <queryTableField id="37" name="TE_ESSERR" tableColumnId="82"/>
      <queryTableField id="38" name="TE_CFURH" tableColumnId="83"/>
      <queryTableField id="39" name="TE_ENERGIA" tableColumnId="84"/>
      <queryTableField id="40" name="TE_TRANSPORTE_ITAIPU" tableColumnId="85"/>
      <queryTableField id="41" name="TE_TUST_ITAIPU" tableColumnId="86"/>
      <queryTableField id="42" name="TE_TUST_CI" tableColumnId="87"/>
      <queryTableField id="43" name="TE Subsidio" tableColumnId="88"/>
      <queryTableField id="44" name="TE BENEFICIO_L14299" tableColumnId="89"/>
      <queryTableField id="45" name="TE_Per_RB" tableColumnId="9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98ECF64-B3BC-4B92-99B5-4B8A6D0719FD}" autoFormatId="0" applyNumberFormats="0" applyBorderFormats="0" applyFontFormats="1" applyPatternFormats="1" applyAlignmentFormats="0" applyWidthHeightFormats="0">
  <queryTableRefresh nextId="46">
    <queryTableFields count="45">
      <queryTableField id="1" name="SUBGRUPO" tableColumnId="46"/>
      <queryTableField id="2" name="MODALIDADE" tableColumnId="47"/>
      <queryTableField id="3" name="CLASSE" tableColumnId="48"/>
      <queryTableField id="4" name="SUBCLASSE" tableColumnId="49"/>
      <queryTableField id="5" name="DETALHE" tableColumnId="50"/>
      <queryTableField id="6" name="POSTO" tableColumnId="51"/>
      <queryTableField id="7" name="UNIDADE" tableColumnId="52"/>
      <queryTableField id="8" name="ACESSANTE" tableColumnId="53"/>
      <queryTableField id="9" name="Total TUSD" tableColumnId="54"/>
      <queryTableField id="10" name="Total TE" tableColumnId="55"/>
      <queryTableField id="11" name="TUSD_CDE_COVID" tableColumnId="56"/>
      <queryTableField id="12" name="TUSD_TFSEE" tableColumnId="57"/>
      <queryTableField id="13" name="TUSD_PeD" tableColumnId="58"/>
      <queryTableField id="14" name="TUSD_ONS" tableColumnId="59"/>
      <queryTableField id="15" name="TUSD_CCC" tableColumnId="60"/>
      <queryTableField id="16" name="TUSD_CDE" tableColumnId="61"/>
      <queryTableField id="17" name="TUSD_PROINFA" tableColumnId="62"/>
      <queryTableField id="18" name="Liminar1" tableColumnId="63"/>
      <queryTableField id="19" name="TUSD_RB" tableColumnId="64"/>
      <queryTableField id="20" name="TUSD_FR" tableColumnId="65"/>
      <queryTableField id="21" name="TUSD_CCT" tableColumnId="66"/>
      <queryTableField id="22" name="TUSD_CCD" tableColumnId="67"/>
      <queryTableField id="23" name="TUSD_CUSD" tableColumnId="68"/>
      <queryTableField id="24" name="TUSDG_T" tableColumnId="69"/>
      <queryTableField id="25" name="TUSDG_ONS" tableColumnId="70"/>
      <queryTableField id="26" name="TUSD_FioB" tableColumnId="71"/>
      <queryTableField id="27" name="TUSD Subsidio" tableColumnId="72"/>
      <queryTableField id="28" name="TUSD BENEFICIO_L14299" tableColumnId="73"/>
      <queryTableField id="29" name="TUSD Outros" tableColumnId="74"/>
      <queryTableField id="30" name="TUSD_PT" tableColumnId="75"/>
      <queryTableField id="31" name="TUSD_Per_RB_D" tableColumnId="76"/>
      <queryTableField id="32" name="TUSD_PNT" tableColumnId="77"/>
      <queryTableField id="33" name="TUSD_RI" tableColumnId="78"/>
      <queryTableField id="34" name="TE_CDE_COVID" tableColumnId="79"/>
      <queryTableField id="35" name="TE_CDE_ELET" tableColumnId="80"/>
      <queryTableField id="36" name="TE_PeD" tableColumnId="81"/>
      <queryTableField id="37" name="TE_ESSERR" tableColumnId="82"/>
      <queryTableField id="38" name="TE_CFURH" tableColumnId="83"/>
      <queryTableField id="39" name="TE_ENERGIA" tableColumnId="84"/>
      <queryTableField id="40" name="TE_TRANSPORTE_ITAIPU" tableColumnId="85"/>
      <queryTableField id="41" name="TE_TUST_ITAIPU" tableColumnId="86"/>
      <queryTableField id="42" name="TE_TUST_CI" tableColumnId="87"/>
      <queryTableField id="43" name="TE Subsidio" tableColumnId="88"/>
      <queryTableField id="44" name="TE BENEFICIO_L14299" tableColumnId="89"/>
      <queryTableField id="45" name="TE_Per_RB" tableColumnId="9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33D92-6179-441B-8377-1CFDA8243857}" name="Efeito" displayName="Efeito" ref="A1:AG225" totalsRowShown="0" headerRowDxfId="522" dataDxfId="521">
  <autoFilter ref="A1:AG225" xr:uid="{AA433D92-6179-441B-8377-1CFDA8243857}"/>
  <tableColumns count="33">
    <tableColumn id="1" xr3:uid="{0D84AE20-78CA-45BF-8A7B-5367ED14C9F3}" name="TipoMercado" dataDxfId="520"/>
    <tableColumn id="2" xr3:uid="{68D4089A-38ED-4D81-9C23-04D38C6D3290}" name="Subgrupo" dataDxfId="519"/>
    <tableColumn id="3" xr3:uid="{8A3FD896-7120-4D72-BCDE-F24CBDA52E4C}" name="Modalidade" dataDxfId="518"/>
    <tableColumn id="4" xr3:uid="{0ED52E7B-DC34-453E-A722-D9D3B00DE28D}" name="Classe" dataDxfId="517"/>
    <tableColumn id="5" xr3:uid="{C55094FA-61AB-48B4-9B13-5F53A556B89B}" name="Subclasse" dataDxfId="516"/>
    <tableColumn id="6" xr3:uid="{BED7BE29-06CA-41AC-BDDD-1C55D5D503A3}" name="Detalhe" dataDxfId="515"/>
    <tableColumn id="7" xr3:uid="{3EED9EA8-F8E7-4902-8426-1EED3CD0AA1D}" name="Agente" dataDxfId="514"/>
    <tableColumn id="8" xr3:uid="{BB94D862-6748-4683-A84C-C0166FC836BF}" name="Posto" dataDxfId="513"/>
    <tableColumn id="9" xr3:uid="{DD34FD58-6092-4CE5-841B-601151151B23}" name="AnoMes" dataDxfId="512"/>
    <tableColumn id="10" xr3:uid="{4ABE4AE0-502F-4614-96EA-CC51BD10F1F9}" name="D" dataDxfId="511"/>
    <tableColumn id="11" xr3:uid="{80A551E8-C4A1-42C7-9C57-5EC2D4A14926}" name="Daj" dataDxfId="510"/>
    <tableColumn id="12" xr3:uid="{E91B0637-B39D-4187-B36A-6C9DCE09B42D}" name="TUSD_E" dataDxfId="509"/>
    <tableColumn id="13" xr3:uid="{AB9494D7-FF95-435C-9899-080D3E527D73}" name="TUSD_Eaj" dataDxfId="508"/>
    <tableColumn id="14" xr3:uid="{6FB38A2A-3755-47D6-8ADD-76B4D36B2491}" name="TE_E" dataDxfId="507"/>
    <tableColumn id="15" xr3:uid="{E2504B25-DD1F-4A85-968F-F01933334609}" name="TE_Eaj" dataDxfId="506"/>
    <tableColumn id="16" xr3:uid="{855B8980-6427-4897-9699-FAA018923276}" name="UC" dataDxfId="505"/>
    <tableColumn id="17" xr3:uid="{B5E8FF96-80A0-498F-AD53-555FF821D5A8}" name="OPÇÃO" dataDxfId="504"/>
    <tableColumn id="18" xr3:uid="{1B4FD349-07C9-43C6-812A-C3648738C0C6}" name="CóD. AUX." dataDxfId="503"/>
    <tableColumn id="19" xr3:uid="{3A332747-AE50-4EE4-A701-C4BDB972C39E}" name="CóD. AUX. TUSD R$/kW" dataDxfId="502"/>
    <tableColumn id="20" xr3:uid="{9A9EB4EB-0E20-46C0-A198-13FCD1D3F473}" name="CóD. AUX. TUSD R$/MWh" dataDxfId="501"/>
    <tableColumn id="21" xr3:uid="{4724A208-413C-4CC2-B6B5-4A418DAB9DA2}" name="CóD. AUX. TE R$/MWh" dataDxfId="500"/>
    <tableColumn id="22" xr3:uid="{C7FF6E34-2E32-4AAE-8CFA-308ECB0E1779}" name="TUSD (R$/kW)" dataDxfId="499"/>
    <tableColumn id="23" xr3:uid="{96AFBDA6-2183-4651-BC2A-87B76C0AB7D9}" name="TUSD (R$/MWh)" dataDxfId="498"/>
    <tableColumn id="24" xr3:uid="{874D12C9-3586-4A22-8618-888E8ACFA3D3}" name="TE (R$/MWh)" dataDxfId="497"/>
    <tableColumn id="25" xr3:uid="{EC1CD475-1B4C-46DB-BD19-F3494C604C96}" name="TUSD (R$/kW) NOVA" dataDxfId="496"/>
    <tableColumn id="26" xr3:uid="{96BEA69F-4C23-4744-B29D-BDD601FC376B}" name="TUSD (R$/MWh) NOVA" dataDxfId="495">
      <calculatedColumnFormula>('TUSD BE'!$AM$50+'TUSD BF'!$AM$50+'TUSD CVA'!$AM$50)*1</calculatedColumnFormula>
    </tableColumn>
    <tableColumn id="27" xr3:uid="{34F6F288-BB27-48CE-9291-CF5C998718D7}" name="TE (R$/MWh) NOVA" dataDxfId="494">
      <calculatedColumnFormula>('TE BE'!$AB$40+'TE BF'!$AB$40+'TE CVA'!$AB$40)*1</calculatedColumnFormula>
    </tableColumn>
    <tableColumn id="28" xr3:uid="{B577207C-D70D-4272-B0E5-3C89FEC43551}" name="RA0 ou RV - TUSD (kW)" dataDxfId="493"/>
    <tableColumn id="29" xr3:uid="{74B38578-BA3B-4FA5-962D-A7D3D4315A6F}" name="RA0 ou RV - TUSD (MWh)" dataDxfId="492"/>
    <tableColumn id="30" xr3:uid="{01DD2DB1-66D3-4604-992E-0FA7F96720B8}" name="RA0 ou RV - TE (MWh)" dataDxfId="491"/>
    <tableColumn id="31" xr3:uid="{5EFF829E-BD2C-4EF0-AEF7-57EBF950253B}" name="RA1 ou RRD - TUSD (kW)" dataDxfId="490"/>
    <tableColumn id="32" xr3:uid="{30AC344A-B31E-48C9-A1B3-546F785F5A0C}" name="RA1 ou RRD - TUSD (MWh)" dataDxfId="489"/>
    <tableColumn id="33" xr3:uid="{FEAB16C2-A8FB-431C-A0EC-619772FC9C26}" name="RA1 ou RRD - TE (MWh)" dataDxfId="48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1C7987-5461-4CE4-88EB-3D070792EDAC}" name="Subsidio" displayName="Subsidio" ref="A1:AF100" totalsRowShown="0" headerRowDxfId="487" dataDxfId="486">
  <autoFilter ref="A1:AF100" xr:uid="{F61C7987-5461-4CE4-88EB-3D070792EDAC}"/>
  <tableColumns count="32">
    <tableColumn id="1" xr3:uid="{4B993EBA-7007-4FB3-8AB5-AE5E9508ADC8}" name="TipoMercado" dataDxfId="485"/>
    <tableColumn id="2" xr3:uid="{D3315A2D-E717-4817-AD99-CAF8973C00A5}" name="Subgrupo" dataDxfId="484"/>
    <tableColumn id="3" xr3:uid="{3BEC85B6-1AE2-4941-BDC4-FD0189885602}" name="Modalidade" dataDxfId="483"/>
    <tableColumn id="4" xr3:uid="{C5DC6C20-42CE-4C01-BCFC-FBC71F4A3916}" name="Classe" dataDxfId="482"/>
    <tableColumn id="5" xr3:uid="{9CE6287E-0DD2-4DA5-82AE-B0AB9EDC96F9}" name="Subclasse" dataDxfId="481"/>
    <tableColumn id="6" xr3:uid="{2F294C12-0257-40AC-BE09-EB60FE97A25F}" name="Detalhe" dataDxfId="480"/>
    <tableColumn id="7" xr3:uid="{A6B1CAF8-024F-4937-9677-1198CDA9C9ED}" name="Agente" dataDxfId="479"/>
    <tableColumn id="8" xr3:uid="{2D7E7831-3965-4DCB-B9AF-36A79B8AAA8E}" name="Posto" dataDxfId="478"/>
    <tableColumn id="9" xr3:uid="{C448B5AC-1BDB-488C-92AE-B006EE9F31B0}" name="AnoMes" dataDxfId="477"/>
    <tableColumn id="10" xr3:uid="{A1D72E68-F4BF-4291-B241-400E2306F046}" name="D" dataDxfId="476"/>
    <tableColumn id="11" xr3:uid="{8E8F963B-9FD5-4D8A-9CB3-3E8FA9CC6E75}" name="Daj" dataDxfId="475"/>
    <tableColumn id="12" xr3:uid="{6580BFB8-5B89-4BC6-9D24-A4FEABD0CC30}" name="TUSD_E" dataDxfId="474"/>
    <tableColumn id="13" xr3:uid="{53E9EA38-7892-4847-9F3B-A5F045C3191E}" name="TUSD_Eaj" dataDxfId="473"/>
    <tableColumn id="14" xr3:uid="{F2617167-76B9-4D96-A3E3-8BC324A746F6}" name="TE_E" dataDxfId="472"/>
    <tableColumn id="15" xr3:uid="{3E1C9356-242C-4963-B63D-8247B59980F7}" name="TE_Eaj" dataDxfId="471"/>
    <tableColumn id="16" xr3:uid="{628DC700-2166-4BAF-A3B6-99E16FEE9B04}" name="UC" dataDxfId="470"/>
    <tableColumn id="17" xr3:uid="{E4777FD9-F30C-4239-AA24-EB52B3EF9F8F}" name="OPÇÃO" dataDxfId="469"/>
    <tableColumn id="18" xr3:uid="{7AF43188-8FD1-43D1-B741-8BC39C485F62}" name="CóD. AUX." dataDxfId="468"/>
    <tableColumn id="19" xr3:uid="{265B5E6B-3D74-43B0-9C4D-0AF059F28BBF}" name="CóD. AUX. TUSD R$/kW" dataDxfId="467"/>
    <tableColumn id="20" xr3:uid="{2EF8B05E-A611-4ABF-8B40-E8A49F7ADF27}" name="CóD. AUX. TUSD R$/MWh" dataDxfId="466"/>
    <tableColumn id="21" xr3:uid="{44918F1C-980F-4110-B40E-275759781032}" name="CóD. AUX. TE R$/MWh" dataDxfId="465"/>
    <tableColumn id="22" xr3:uid="{C737AFBC-7164-4393-A5AD-3847A1074FE3}" name="TUSD (R$/kW)" dataDxfId="464"/>
    <tableColumn id="23" xr3:uid="{CCFCA309-40EE-4976-B801-4158A8DA6DE8}" name="TUSD (R$/MWh)" dataDxfId="463"/>
    <tableColumn id="24" xr3:uid="{B4E2AB14-5B36-4A3E-9C29-39F9BF423C0F}" name="TE (R$/MWh)" dataDxfId="462"/>
    <tableColumn id="25" xr3:uid="{3B91E338-DE60-4221-9320-5ACB52DBF03A}" name="TUSD (R$/kW) NOVA" dataDxfId="461"/>
    <tableColumn id="26" xr3:uid="{0F27D18C-2BC7-47F7-8CFD-80C0ACF1E979}" name="TUSD (R$/MWh) NOVA" dataDxfId="460">
      <calculatedColumnFormula>('TUSD BE'!$AM$48+'TUSD BF'!$AM$48+'TUSD CVA'!$AM$48)*1</calculatedColumnFormula>
    </tableColumn>
    <tableColumn id="27" xr3:uid="{89B85799-A3C3-48A6-84CE-F7FFEB5FC8EF}" name="TE (R$/MWh) NOVA" dataDxfId="459">
      <calculatedColumnFormula>('TE BE'!$AB$38+'TE BF'!$AB$38+'TE CVA'!$AB$38)*1</calculatedColumnFormula>
    </tableColumn>
    <tableColumn id="28" xr3:uid="{F0536133-5D3F-4A36-AAE6-7B9AFE944765}" name="SUBSIDIO kW - TV" dataDxfId="458">
      <calculatedColumnFormula>(J2-K2)*V2</calculatedColumnFormula>
    </tableColumn>
    <tableColumn id="29" xr3:uid="{DE94E559-0756-4ADE-A3E9-FA0F33A4F32F}" name="SUBSIDIO MWh - TV" dataDxfId="457">
      <calculatedColumnFormula>(L2-M2)*W2+(N2-O2)*X2</calculatedColumnFormula>
    </tableColumn>
    <tableColumn id="30" xr3:uid="{0FD7B764-D30C-4E9F-B3E9-ECAB54A9CA7A}" name="SUBSIDIO kW - TN" dataDxfId="456">
      <calculatedColumnFormula>(J2-K2)*Y2</calculatedColumnFormula>
    </tableColumn>
    <tableColumn id="31" xr3:uid="{83C2B0DF-F557-4158-9EE2-85458D56FA1F}" name="SUBSIDIO MWh - TN" dataDxfId="455">
      <calculatedColumnFormula>(L2-M2)*Z2+(N2-O2)*AA2</calculatedColumnFormula>
    </tableColumn>
    <tableColumn id="32" xr3:uid="{01F99BFE-1157-48C9-B11D-E0D606309989}" name="TIPO" dataDxfId="4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23F945-5482-4790-B608-864C9595A78D}" name="TabelaFin" displayName="TabelaFin" ref="B3:AT49" tableType="queryTable" totalsRowShown="0" headerRowDxfId="101" dataDxfId="100" headerRowBorderDxfId="148" tableBorderDxfId="149" totalsRowBorderDxfId="147">
  <autoFilter ref="B3:AT49" xr:uid="{FB23F945-5482-4790-B608-864C9595A78D}"/>
  <sortState xmlns:xlrd2="http://schemas.microsoft.com/office/spreadsheetml/2017/richdata2" ref="B4:AT49">
    <sortCondition ref="B4:B49"/>
    <sortCondition ref="C4:C49"/>
    <sortCondition ref="D4:D49"/>
    <sortCondition ref="E4:E49"/>
    <sortCondition ref="F4:F49"/>
    <sortCondition descending="1" ref="G4:G49"/>
    <sortCondition descending="1" ref="H4:H49"/>
    <sortCondition ref="I4:I49"/>
  </sortState>
  <tableColumns count="45">
    <tableColumn id="46" xr3:uid="{F06A603D-B72F-4E06-9BB3-0E11A9B1C241}" uniqueName="46" name="SUBGRUPO" queryTableFieldId="1" dataDxfId="146"/>
    <tableColumn id="47" xr3:uid="{2E49A8FE-2388-4797-89F8-D1C30F0C783D}" uniqueName="47" name="MODALIDADE" queryTableFieldId="2" dataDxfId="145"/>
    <tableColumn id="48" xr3:uid="{0F4D08EE-5315-4402-9580-8EB0C8669909}" uniqueName="48" name="CLASSE" queryTableFieldId="3" dataDxfId="144"/>
    <tableColumn id="49" xr3:uid="{D1DFB45F-EA0C-4EA3-9A1E-E8D88539809F}" uniqueName="49" name="SUBCLASSE" queryTableFieldId="4" dataDxfId="143"/>
    <tableColumn id="50" xr3:uid="{A965F4DB-9E54-437D-B20E-F10C8E366FF0}" uniqueName="50" name="DETALHE" queryTableFieldId="5" dataDxfId="142"/>
    <tableColumn id="51" xr3:uid="{53DEF8B7-6697-4BCB-8CC9-5313D360B917}" uniqueName="51" name="POSTO" queryTableFieldId="6" dataDxfId="141"/>
    <tableColumn id="52" xr3:uid="{96216F1E-76F6-4A60-9F0A-44211CA2696F}" uniqueName="52" name="UNIDADE" queryTableFieldId="7" dataDxfId="140"/>
    <tableColumn id="53" xr3:uid="{2AE46955-1E06-4761-B4BE-00A139B1E054}" uniqueName="53" name="ACESSANTE" queryTableFieldId="8" dataDxfId="139"/>
    <tableColumn id="54" xr3:uid="{E80C2DF8-259B-4BA0-8851-17C01D670B70}" uniqueName="54" name="Total TUSD" queryTableFieldId="9" dataDxfId="138"/>
    <tableColumn id="55" xr3:uid="{2C8E64FA-CBA7-4ED6-A0D2-0552F401644F}" uniqueName="55" name="Total TE" queryTableFieldId="10" dataDxfId="137"/>
    <tableColumn id="56" xr3:uid="{86494D2F-F155-49E6-98F7-E3D0AB1B7FBE}" uniqueName="56" name="TUSD_CDE_COVID" queryTableFieldId="11" dataDxfId="136"/>
    <tableColumn id="57" xr3:uid="{859AE6E1-A641-4C7C-A0F5-C2C151F7D9AA}" uniqueName="57" name="TUSD_TFSEE" queryTableFieldId="12" dataDxfId="135"/>
    <tableColumn id="58" xr3:uid="{9CF3F628-399B-4936-8B9E-E63C6AD0BE82}" uniqueName="58" name="TUSD_PeD" queryTableFieldId="13" dataDxfId="134"/>
    <tableColumn id="59" xr3:uid="{B6090CB6-6C55-4CC0-BCCB-25448FBDB028}" uniqueName="59" name="TUSD_ONS" queryTableFieldId="14" dataDxfId="133"/>
    <tableColumn id="60" xr3:uid="{8B59F0DE-49EE-4ED0-8926-265F793CADA1}" uniqueName="60" name="TUSD_CCC" queryTableFieldId="15" dataDxfId="132"/>
    <tableColumn id="61" xr3:uid="{7FA4510F-AF8D-4BDB-9200-BB29FDF316B8}" uniqueName="61" name="TUSD_CDE" queryTableFieldId="16" dataDxfId="131"/>
    <tableColumn id="62" xr3:uid="{2D1B5EE3-E5F1-4051-871E-CE3CA9382A29}" uniqueName="62" name="TUSD_PROINFA" queryTableFieldId="17" dataDxfId="130"/>
    <tableColumn id="63" xr3:uid="{34B20839-C9A4-4F28-BA78-EAD50D112AAF}" uniqueName="63" name="Liminar1" queryTableFieldId="18" dataDxfId="129"/>
    <tableColumn id="64" xr3:uid="{1B89E267-813C-4AE5-BE1A-B6F0E4CFF539}" uniqueName="64" name="TUSD_RB" queryTableFieldId="19" dataDxfId="128"/>
    <tableColumn id="65" xr3:uid="{3A1B9FF6-F974-459F-86F1-25F65EA84B5C}" uniqueName="65" name="TUSD_FR" queryTableFieldId="20" dataDxfId="127"/>
    <tableColumn id="66" xr3:uid="{55C0E3CE-20A4-4C6C-A6AF-A2DAF62CD8FD}" uniqueName="66" name="TUSD_CCT" queryTableFieldId="21" dataDxfId="126"/>
    <tableColumn id="67" xr3:uid="{5F6FBAA0-0E07-4E5D-890E-0BCA3A95D0F7}" uniqueName="67" name="TUSD_CCD" queryTableFieldId="22" dataDxfId="125"/>
    <tableColumn id="68" xr3:uid="{C7B7B51C-A1B8-47AD-B517-633FFCDB6844}" uniqueName="68" name="TUSD_CUSD" queryTableFieldId="23" dataDxfId="124"/>
    <tableColumn id="69" xr3:uid="{4BFF37E3-9997-49FC-B32D-C27C1134BCB0}" uniqueName="69" name="TUSDG_T" queryTableFieldId="24" dataDxfId="123"/>
    <tableColumn id="70" xr3:uid="{72CAFC5B-9EE9-422E-87E9-60325216EC84}" uniqueName="70" name="TUSDG_ONS" queryTableFieldId="25" dataDxfId="122"/>
    <tableColumn id="71" xr3:uid="{7C498552-C3AE-41F4-843A-CF9FB30EAEB9}" uniqueName="71" name="TUSD_FioB" queryTableFieldId="26" dataDxfId="121"/>
    <tableColumn id="72" xr3:uid="{E6E6CF07-10CB-4B1F-8C69-92E42C116889}" uniqueName="72" name="TUSD Subsidio" queryTableFieldId="27" dataDxfId="120"/>
    <tableColumn id="73" xr3:uid="{369414F7-E88F-4B5E-AF7E-D13CF35F87A7}" uniqueName="73" name="TUSD BENEFICIO_L14299" queryTableFieldId="28" dataDxfId="119"/>
    <tableColumn id="74" xr3:uid="{834BE622-3EB1-49C4-8EDA-F0D780A69FBA}" uniqueName="74" name="TUSD Outros" queryTableFieldId="29" dataDxfId="118"/>
    <tableColumn id="75" xr3:uid="{79A650C8-ADAB-4022-ABDD-F56EEF951374}" uniqueName="75" name="TUSD_PT" queryTableFieldId="30" dataDxfId="117"/>
    <tableColumn id="76" xr3:uid="{838F7038-12B0-4408-85C0-4B4C5F2B6D35}" uniqueName="76" name="TUSD_Per_RB_D" queryTableFieldId="31" dataDxfId="116"/>
    <tableColumn id="77" xr3:uid="{DF715BC4-29C1-4C0C-9F1C-4769CC971A16}" uniqueName="77" name="TUSD_PNT" queryTableFieldId="32" dataDxfId="115"/>
    <tableColumn id="78" xr3:uid="{583D8A16-2F13-4081-A294-98DA230F1B63}" uniqueName="78" name="TUSD_RI" queryTableFieldId="33" dataDxfId="114"/>
    <tableColumn id="79" xr3:uid="{D6563916-5396-4C85-BC87-4C32F7931E1F}" uniqueName="79" name="TE_CDE_COVID" queryTableFieldId="34" dataDxfId="113"/>
    <tableColumn id="80" xr3:uid="{C58CBB9B-A8C3-4D6A-8F2F-947C14A62893}" uniqueName="80" name="TE_CDE_ELET" queryTableFieldId="35" dataDxfId="112"/>
    <tableColumn id="81" xr3:uid="{50661C69-6C77-4F3E-9784-F29F3BB3D02F}" uniqueName="81" name="TE_PeD" queryTableFieldId="36" dataDxfId="111"/>
    <tableColumn id="82" xr3:uid="{392CBDBC-EF89-47A8-8D0F-B3685E054ABF}" uniqueName="82" name="TE_ESSERR" queryTableFieldId="37" dataDxfId="110"/>
    <tableColumn id="83" xr3:uid="{801A494E-0013-4433-A95C-75FF292F31B7}" uniqueName="83" name="TE_CFURH" queryTableFieldId="38" dataDxfId="109"/>
    <tableColumn id="84" xr3:uid="{B44E6C07-1972-4617-9102-FEAA34B24D29}" uniqueName="84" name="TE_ENERGIA" queryTableFieldId="39" dataDxfId="108"/>
    <tableColumn id="85" xr3:uid="{256727BD-64DA-410F-A600-62D995E89848}" uniqueName="85" name="TE_TRANSPORTE_ITAIPU" queryTableFieldId="40" dataDxfId="107"/>
    <tableColumn id="86" xr3:uid="{FE3200B7-0FEC-4CBF-A17E-2B83AFAD9F1A}" uniqueName="86" name="TE_TUST_ITAIPU" queryTableFieldId="41" dataDxfId="106"/>
    <tableColumn id="87" xr3:uid="{AA388CB9-3D89-4EEA-A3EB-602D135D9F49}" uniqueName="87" name="TE_TUST_CI" queryTableFieldId="42" dataDxfId="105"/>
    <tableColumn id="88" xr3:uid="{5D9B9D18-6A9E-4C62-B997-C7FF608310E4}" uniqueName="88" name="TE Subsidio" queryTableFieldId="43" dataDxfId="104"/>
    <tableColumn id="89" xr3:uid="{E4EAEDC5-BA13-42E4-BE92-F601BF7B38E5}" uniqueName="89" name="TE BENEFICIO_L14299" queryTableFieldId="44" dataDxfId="103"/>
    <tableColumn id="90" xr3:uid="{DC9E1E35-D14E-489A-BB03-B7755065F629}" uniqueName="90" name="TE_Per_RB" queryTableFieldId="45" dataDxfId="10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362604-5B05-43C8-83E6-E53C7AA56BE0}" name="TabelaEc" displayName="TabelaEc" ref="B3:AT49" tableType="queryTable" totalsRowShown="0" headerRowDxfId="51" dataDxfId="50" headerRowBorderDxfId="98" tableBorderDxfId="99" totalsRowBorderDxfId="97">
  <autoFilter ref="B3:AT49" xr:uid="{07362604-5B05-43C8-83E6-E53C7AA56BE0}"/>
  <sortState xmlns:xlrd2="http://schemas.microsoft.com/office/spreadsheetml/2017/richdata2" ref="B4:AT49">
    <sortCondition ref="B4:B49"/>
    <sortCondition ref="C4:C49"/>
    <sortCondition ref="D4:D49"/>
    <sortCondition ref="E4:E49"/>
    <sortCondition ref="F4:F49"/>
    <sortCondition descending="1" ref="G4:G49"/>
    <sortCondition descending="1" ref="H4:H49"/>
    <sortCondition ref="I4:I49"/>
  </sortState>
  <tableColumns count="45">
    <tableColumn id="46" xr3:uid="{CAB4FC71-60E9-42C2-97C8-A05EC9024D59}" uniqueName="46" name="SUBGRUPO" queryTableFieldId="1" dataDxfId="96"/>
    <tableColumn id="47" xr3:uid="{E01FC8F2-CB57-4232-B333-8574CD1E3EB5}" uniqueName="47" name="MODALIDADE" queryTableFieldId="2" dataDxfId="95"/>
    <tableColumn id="48" xr3:uid="{0D224B1F-E304-4BBD-9FF6-D0739DCBC619}" uniqueName="48" name="CLASSE" queryTableFieldId="3" dataDxfId="94"/>
    <tableColumn id="49" xr3:uid="{9511BEBF-CC0B-4B19-9FE2-7EAEEF9B5083}" uniqueName="49" name="SUBCLASSE" queryTableFieldId="4" dataDxfId="93"/>
    <tableColumn id="50" xr3:uid="{7CBB0A18-7331-4117-B2E6-1F771124EB23}" uniqueName="50" name="DETALHE" queryTableFieldId="5" dataDxfId="92"/>
    <tableColumn id="51" xr3:uid="{0D6A29A0-EA6C-4AE2-B137-026B651BF4C9}" uniqueName="51" name="POSTO" queryTableFieldId="6" dataDxfId="91"/>
    <tableColumn id="52" xr3:uid="{CEDD51DC-A8C7-4DE3-BAEB-92D1B14408B3}" uniqueName="52" name="UNIDADE" queryTableFieldId="7" dataDxfId="90"/>
    <tableColumn id="53" xr3:uid="{D3F5E04D-2653-4FC4-BDA8-975139E1D2BE}" uniqueName="53" name="ACESSANTE" queryTableFieldId="8" dataDxfId="89"/>
    <tableColumn id="54" xr3:uid="{979FFF67-F814-49A3-B450-419ED026A44F}" uniqueName="54" name="Total TUSD" queryTableFieldId="9" dataDxfId="88"/>
    <tableColumn id="55" xr3:uid="{48328357-77D1-4B05-BD62-474E85840158}" uniqueName="55" name="Total TE" queryTableFieldId="10" dataDxfId="87"/>
    <tableColumn id="56" xr3:uid="{A74D171A-4536-4943-968D-58F27131AEA6}" uniqueName="56" name="TUSD_CDE_COVID" queryTableFieldId="11" dataDxfId="86"/>
    <tableColumn id="57" xr3:uid="{91C86269-7EF2-4AC1-B439-FA955AD86E8A}" uniqueName="57" name="TUSD_TFSEE" queryTableFieldId="12" dataDxfId="85"/>
    <tableColumn id="58" xr3:uid="{453433BF-902A-439E-BD47-6B2647140968}" uniqueName="58" name="TUSD_PeD" queryTableFieldId="13" dataDxfId="84"/>
    <tableColumn id="59" xr3:uid="{21B6C989-F2C0-497C-A006-8ECCEC04239E}" uniqueName="59" name="TUSD_ONS" queryTableFieldId="14" dataDxfId="83"/>
    <tableColumn id="60" xr3:uid="{5C1BBD9A-01D1-4223-9001-3E88DFFF60CA}" uniqueName="60" name="TUSD_CCC" queryTableFieldId="15" dataDxfId="82"/>
    <tableColumn id="61" xr3:uid="{B7FEFC6C-D255-4782-93E3-54FCB2E2033E}" uniqueName="61" name="TUSD_CDE" queryTableFieldId="16" dataDxfId="81"/>
    <tableColumn id="62" xr3:uid="{F97B8F98-B669-4027-9CE0-4AE12F59BE62}" uniqueName="62" name="TUSD_PROINFA" queryTableFieldId="17" dataDxfId="80"/>
    <tableColumn id="63" xr3:uid="{3BCA61D2-0139-4C02-80E9-71B300028EA5}" uniqueName="63" name="Liminar1" queryTableFieldId="18" dataDxfId="79"/>
    <tableColumn id="64" xr3:uid="{97E3CB1F-88D0-4860-BD56-192058D12974}" uniqueName="64" name="TUSD_RB" queryTableFieldId="19" dataDxfId="78"/>
    <tableColumn id="65" xr3:uid="{75ADB7D3-3ADE-4DF9-A034-65CB4DC0D084}" uniqueName="65" name="TUSD_FR" queryTableFieldId="20" dataDxfId="77"/>
    <tableColumn id="66" xr3:uid="{598D12A3-8798-4601-B237-58CD9C0B36BF}" uniqueName="66" name="TUSD_CCT" queryTableFieldId="21" dataDxfId="76"/>
    <tableColumn id="67" xr3:uid="{96F5212F-867C-4F98-9022-76F7CAC6C822}" uniqueName="67" name="TUSD_CCD" queryTableFieldId="22" dataDxfId="75"/>
    <tableColumn id="68" xr3:uid="{F81E4B63-44D3-4CF3-8AC7-C79C8AD1E6D4}" uniqueName="68" name="TUSD_CUSD" queryTableFieldId="23" dataDxfId="74"/>
    <tableColumn id="69" xr3:uid="{7213D83A-9719-4A9F-847B-A969BA114F2A}" uniqueName="69" name="TUSDG_T" queryTableFieldId="24" dataDxfId="73"/>
    <tableColumn id="70" xr3:uid="{AC91F5BF-5451-4435-A99D-820571C0186A}" uniqueName="70" name="TUSDG_ONS" queryTableFieldId="25" dataDxfId="72"/>
    <tableColumn id="71" xr3:uid="{7671ABA8-0B88-4F12-AD5D-D0F95CF6F5E7}" uniqueName="71" name="TUSD_FioB" queryTableFieldId="26" dataDxfId="71"/>
    <tableColumn id="72" xr3:uid="{6E710672-BD77-4231-BC5C-574CB2EE415F}" uniqueName="72" name="TUSD Subsidio" queryTableFieldId="27" dataDxfId="70"/>
    <tableColumn id="73" xr3:uid="{41A85B92-937E-42D9-9D3B-EFA320781217}" uniqueName="73" name="TUSD BENEFICIO_L14299" queryTableFieldId="28" dataDxfId="69"/>
    <tableColumn id="74" xr3:uid="{39A62742-DFB4-4CE8-83A4-9DB0ED6B83B3}" uniqueName="74" name="TUSD Outros" queryTableFieldId="29" dataDxfId="68"/>
    <tableColumn id="75" xr3:uid="{66879362-8C71-4D2B-99FA-832E3F7E9BC3}" uniqueName="75" name="TUSD_PT" queryTableFieldId="30" dataDxfId="67"/>
    <tableColumn id="76" xr3:uid="{29751ADF-BACE-4015-9B19-3BF1C9A7D3DE}" uniqueName="76" name="TUSD_Per_RB_D" queryTableFieldId="31" dataDxfId="66"/>
    <tableColumn id="77" xr3:uid="{16861563-805C-4D96-A730-A9610B35401F}" uniqueName="77" name="TUSD_PNT" queryTableFieldId="32" dataDxfId="65"/>
    <tableColumn id="78" xr3:uid="{021D04D5-4C53-400F-86DC-05444E76692E}" uniqueName="78" name="TUSD_RI" queryTableFieldId="33" dataDxfId="64"/>
    <tableColumn id="79" xr3:uid="{AB831DA7-6A02-43EA-ACBA-D3F055BD15BA}" uniqueName="79" name="TE_CDE_COVID" queryTableFieldId="34" dataDxfId="63"/>
    <tableColumn id="80" xr3:uid="{87AC7711-329B-483D-B5ED-38A9FE51667E}" uniqueName="80" name="TE_CDE_ELET" queryTableFieldId="35" dataDxfId="62"/>
    <tableColumn id="81" xr3:uid="{EE328776-F6FA-4EA3-BE99-4A3462FEC7F8}" uniqueName="81" name="TE_PeD" queryTableFieldId="36" dataDxfId="61"/>
    <tableColumn id="82" xr3:uid="{1EDE15C4-F1B0-4E1C-B06B-D9697718B6CB}" uniqueName="82" name="TE_ESSERR" queryTableFieldId="37" dataDxfId="60"/>
    <tableColumn id="83" xr3:uid="{28140A05-0225-476B-A5C6-6570157F1A27}" uniqueName="83" name="TE_CFURH" queryTableFieldId="38" dataDxfId="59"/>
    <tableColumn id="84" xr3:uid="{8FB99BA3-19FA-41A5-A453-12441F7B2382}" uniqueName="84" name="TE_ENERGIA" queryTableFieldId="39" dataDxfId="58"/>
    <tableColumn id="85" xr3:uid="{40FC45EB-2BB0-4D55-ACDE-CA4FEF4DF644}" uniqueName="85" name="TE_TRANSPORTE_ITAIPU" queryTableFieldId="40" dataDxfId="57"/>
    <tableColumn id="86" xr3:uid="{ED6FC514-FB18-47ED-82B4-9F57825C4BBD}" uniqueName="86" name="TE_TUST_ITAIPU" queryTableFieldId="41" dataDxfId="56"/>
    <tableColumn id="87" xr3:uid="{E1886AC4-834A-4D7C-B327-94AE5B652D42}" uniqueName="87" name="TE_TUST_CI" queryTableFieldId="42" dataDxfId="55"/>
    <tableColumn id="88" xr3:uid="{9003B38B-E84C-40B8-92B5-9A7B7BE588B2}" uniqueName="88" name="TE Subsidio" queryTableFieldId="43" dataDxfId="54"/>
    <tableColumn id="89" xr3:uid="{C78D566B-E4C8-44AF-A34A-3F8A05C49A40}" uniqueName="89" name="TE BENEFICIO_L14299" queryTableFieldId="44" dataDxfId="53"/>
    <tableColumn id="90" xr3:uid="{6DC0DB0C-5E5C-4C13-88D9-BC172DEB1D69}" uniqueName="90" name="TE_Per_RB" queryTableFieldId="45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EC2A60-6244-409D-A994-7FC889D8D1BA}" name="TabelaCVA" displayName="TabelaCVA" ref="B3:AT49" tableType="queryTable" totalsRowShown="0" headerRowDxfId="1" dataDxfId="0" headerRowBorderDxfId="48" tableBorderDxfId="49" totalsRowBorderDxfId="47">
  <autoFilter ref="B3:AT49" xr:uid="{4FEC2A60-6244-409D-A994-7FC889D8D1BA}"/>
  <sortState xmlns:xlrd2="http://schemas.microsoft.com/office/spreadsheetml/2017/richdata2" ref="B4:AT49">
    <sortCondition ref="B4:B49"/>
    <sortCondition ref="C4:C49"/>
    <sortCondition ref="D4:D49"/>
    <sortCondition ref="E4:E49"/>
    <sortCondition ref="F4:F49"/>
    <sortCondition descending="1" ref="G4:G49"/>
    <sortCondition descending="1" ref="H4:H49"/>
    <sortCondition ref="I4:I49"/>
  </sortState>
  <tableColumns count="45">
    <tableColumn id="46" xr3:uid="{189E2F9E-BCAE-4538-943E-FF20756770AB}" uniqueName="46" name="SUBGRUPO" queryTableFieldId="1" dataDxfId="46"/>
    <tableColumn id="47" xr3:uid="{D69044E1-6BA1-4CD7-8417-291D77B4265C}" uniqueName="47" name="MODALIDADE" queryTableFieldId="2" dataDxfId="45"/>
    <tableColumn id="48" xr3:uid="{CDF9AF88-481A-4FF4-B3D1-5C69391D253C}" uniqueName="48" name="CLASSE" queryTableFieldId="3" dataDxfId="44"/>
    <tableColumn id="49" xr3:uid="{7599EEEC-6C65-4E08-88F1-8EC78AA07864}" uniqueName="49" name="SUBCLASSE" queryTableFieldId="4" dataDxfId="43"/>
    <tableColumn id="50" xr3:uid="{7B34D947-718C-44AE-9A66-D408B197C29F}" uniqueName="50" name="DETALHE" queryTableFieldId="5" dataDxfId="42"/>
    <tableColumn id="51" xr3:uid="{CB66C877-9A24-4BC2-9C94-F166446D187F}" uniqueName="51" name="POSTO" queryTableFieldId="6" dataDxfId="41"/>
    <tableColumn id="52" xr3:uid="{64C437FE-D1CB-4D5D-AD51-305A0CC30419}" uniqueName="52" name="UNIDADE" queryTableFieldId="7" dataDxfId="40"/>
    <tableColumn id="53" xr3:uid="{0417F7C4-284C-438B-B332-16139EC2E100}" uniqueName="53" name="ACESSANTE" queryTableFieldId="8" dataDxfId="39"/>
    <tableColumn id="54" xr3:uid="{C695D217-5AC4-45A9-8D3A-9B231F3CA3D6}" uniqueName="54" name="Total TUSD" queryTableFieldId="9" dataDxfId="38"/>
    <tableColumn id="55" xr3:uid="{8AB2894B-F9AD-48D3-9705-F96962D89D13}" uniqueName="55" name="Total TE" queryTableFieldId="10" dataDxfId="37"/>
    <tableColumn id="56" xr3:uid="{DC8C3834-B590-4578-9F0D-71A8F8752EAD}" uniqueName="56" name="TUSD_CDE_COVID" queryTableFieldId="11" dataDxfId="36"/>
    <tableColumn id="57" xr3:uid="{B543BB5A-8A0B-4E7C-92F0-B590A5BE0A9A}" uniqueName="57" name="TUSD_TFSEE" queryTableFieldId="12" dataDxfId="35"/>
    <tableColumn id="58" xr3:uid="{ABAF10CF-EFDB-4888-9A78-CF568F9871E0}" uniqueName="58" name="TUSD_PeD" queryTableFieldId="13" dataDxfId="34"/>
    <tableColumn id="59" xr3:uid="{25ACB41C-827A-4C24-AFBB-83AD35C2D127}" uniqueName="59" name="TUSD_ONS" queryTableFieldId="14" dataDxfId="33"/>
    <tableColumn id="60" xr3:uid="{CA817B5A-04A0-4145-8370-BACDA5F7EF92}" uniqueName="60" name="TUSD_CCC" queryTableFieldId="15" dataDxfId="32"/>
    <tableColumn id="61" xr3:uid="{9C2DAFBA-F04C-4D1F-8678-509AA93E213D}" uniqueName="61" name="TUSD_CDE" queryTableFieldId="16" dataDxfId="31"/>
    <tableColumn id="62" xr3:uid="{EA640C37-CD9D-41D0-98DD-C9CA86A3C85C}" uniqueName="62" name="TUSD_PROINFA" queryTableFieldId="17" dataDxfId="30"/>
    <tableColumn id="63" xr3:uid="{5F4A2810-4E0A-4008-A3F9-11C62046DD7C}" uniqueName="63" name="Liminar1" queryTableFieldId="18" dataDxfId="29"/>
    <tableColumn id="64" xr3:uid="{CC052193-B0D5-4810-B3BE-ADBC82F0E04D}" uniqueName="64" name="TUSD_RB" queryTableFieldId="19" dataDxfId="28"/>
    <tableColumn id="65" xr3:uid="{88F2C25E-B368-4D57-91F2-9EE1AA786A5F}" uniqueName="65" name="TUSD_FR" queryTableFieldId="20" dataDxfId="27"/>
    <tableColumn id="66" xr3:uid="{0A4F7665-1548-4D6E-87FA-F9D423160848}" uniqueName="66" name="TUSD_CCT" queryTableFieldId="21" dataDxfId="26"/>
    <tableColumn id="67" xr3:uid="{33010DFD-61DD-46D2-B558-BD0B43DC1BDA}" uniqueName="67" name="TUSD_CCD" queryTableFieldId="22" dataDxfId="25"/>
    <tableColumn id="68" xr3:uid="{B13299AA-64B8-4052-B869-09970996A2DC}" uniqueName="68" name="TUSD_CUSD" queryTableFieldId="23" dataDxfId="24"/>
    <tableColumn id="69" xr3:uid="{A5EA046E-E230-4BEA-A475-045C3090F569}" uniqueName="69" name="TUSDG_T" queryTableFieldId="24" dataDxfId="23"/>
    <tableColumn id="70" xr3:uid="{D6B09389-C487-4D1D-AFFC-D4F5ABCA0407}" uniqueName="70" name="TUSDG_ONS" queryTableFieldId="25" dataDxfId="22"/>
    <tableColumn id="71" xr3:uid="{91E6A2DA-F357-431F-8C75-3DAD0506CA61}" uniqueName="71" name="TUSD_FioB" queryTableFieldId="26" dataDxfId="21"/>
    <tableColumn id="72" xr3:uid="{DE430D4F-F74D-4797-8808-379F5AE71144}" uniqueName="72" name="TUSD Subsidio" queryTableFieldId="27" dataDxfId="20"/>
    <tableColumn id="73" xr3:uid="{06FD9523-63E5-4F40-8E91-39AE3B8D1A8F}" uniqueName="73" name="TUSD BENEFICIO_L14299" queryTableFieldId="28" dataDxfId="19"/>
    <tableColumn id="74" xr3:uid="{37A9B939-BDCE-4957-8965-7566BE7ED0CE}" uniqueName="74" name="TUSD Outros" queryTableFieldId="29" dataDxfId="18"/>
    <tableColumn id="75" xr3:uid="{2A261CB5-C0ED-4D2C-9DEA-A15B9890B22C}" uniqueName="75" name="TUSD_PT" queryTableFieldId="30" dataDxfId="17"/>
    <tableColumn id="76" xr3:uid="{0209939F-B129-4176-A84D-C8CE7B90F739}" uniqueName="76" name="TUSD_Per_RB_D" queryTableFieldId="31" dataDxfId="16"/>
    <tableColumn id="77" xr3:uid="{7F0797B3-DEEC-46D7-A760-1E4F87563D2E}" uniqueName="77" name="TUSD_PNT" queryTableFieldId="32" dataDxfId="15"/>
    <tableColumn id="78" xr3:uid="{2BA5F574-3078-4DE2-9286-8DA48CD779E5}" uniqueName="78" name="TUSD_RI" queryTableFieldId="33" dataDxfId="14"/>
    <tableColumn id="79" xr3:uid="{573EB84A-1832-4801-80B7-9935BD2380CE}" uniqueName="79" name="TE_CDE_COVID" queryTableFieldId="34" dataDxfId="13"/>
    <tableColumn id="80" xr3:uid="{A781DCD1-AE36-473D-9916-51997836DACF}" uniqueName="80" name="TE_CDE_ELET" queryTableFieldId="35" dataDxfId="12"/>
    <tableColumn id="81" xr3:uid="{76C41328-0591-4982-8EA7-1309B79224A9}" uniqueName="81" name="TE_PeD" queryTableFieldId="36" dataDxfId="11"/>
    <tableColumn id="82" xr3:uid="{F97C3B85-4123-42AA-8356-E7994E6E3015}" uniqueName="82" name="TE_ESSERR" queryTableFieldId="37" dataDxfId="10"/>
    <tableColumn id="83" xr3:uid="{11B40AFA-834C-48CF-A400-BCB89485C728}" uniqueName="83" name="TE_CFURH" queryTableFieldId="38" dataDxfId="9"/>
    <tableColumn id="84" xr3:uid="{BE9CCE64-C071-4AEE-881F-4599CE877DE2}" uniqueName="84" name="TE_ENERGIA" queryTableFieldId="39" dataDxfId="8"/>
    <tableColumn id="85" xr3:uid="{869B2962-E931-4FAC-9D6D-199C9413CC8D}" uniqueName="85" name="TE_TRANSPORTE_ITAIPU" queryTableFieldId="40" dataDxfId="7"/>
    <tableColumn id="86" xr3:uid="{08813ED6-7372-4941-AD45-7870D38DF158}" uniqueName="86" name="TE_TUST_ITAIPU" queryTableFieldId="41" dataDxfId="6"/>
    <tableColumn id="87" xr3:uid="{7E2E34A7-2A16-4C2E-B9FA-83EDD636191F}" uniqueName="87" name="TE_TUST_CI" queryTableFieldId="42" dataDxfId="5"/>
    <tableColumn id="88" xr3:uid="{3AD5AA9E-2B23-4D84-908A-35A464565AF2}" uniqueName="88" name="TE Subsidio" queryTableFieldId="43" dataDxfId="4"/>
    <tableColumn id="89" xr3:uid="{C093A7F8-A56A-44C3-A05E-A2A695EF60A2}" uniqueName="89" name="TE BENEFICIO_L14299" queryTableFieldId="44" dataDxfId="3"/>
    <tableColumn id="90" xr3:uid="{9E1AB1F2-7BF5-4320-8AD8-54D8916C2993}" uniqueName="90" name="TE_Per_RB" queryTableFieldId="4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75FE-20D5-42AB-91FA-470B1C522A27}">
  <dimension ref="A1:W225"/>
  <sheetViews>
    <sheetView showGridLines="0" topLeftCell="I209" workbookViewId="0">
      <selection activeCell="T226" sqref="T226"/>
    </sheetView>
  </sheetViews>
  <sheetFormatPr defaultRowHeight="11.25" customHeight="1" x14ac:dyDescent="0.3"/>
  <cols>
    <col min="1" max="1" width="18" style="4" bestFit="1" customWidth="1"/>
    <col min="2" max="2" width="7.6640625" style="4" bestFit="1" customWidth="1"/>
    <col min="3" max="3" width="9.21875" style="4" bestFit="1" customWidth="1"/>
    <col min="4" max="4" width="12.6640625" style="4" bestFit="1" customWidth="1"/>
    <col min="5" max="5" width="23.109375" style="4" bestFit="1" customWidth="1"/>
    <col min="6" max="6" width="12.88671875" style="4" bestFit="1" customWidth="1"/>
    <col min="7" max="8" width="9.5546875" style="4" bestFit="1" customWidth="1"/>
    <col min="9" max="9" width="7.88671875" style="5" bestFit="1" customWidth="1"/>
    <col min="10" max="12" width="6.33203125" style="6" bestFit="1" customWidth="1"/>
    <col min="13" max="13" width="7.6640625" style="6" bestFit="1" customWidth="1"/>
    <col min="14" max="14" width="5.109375" style="6" bestFit="1" customWidth="1"/>
    <col min="15" max="15" width="5.5546875" style="6" bestFit="1" customWidth="1"/>
    <col min="16" max="16" width="5.109375" style="6" bestFit="1" customWidth="1"/>
    <col min="17" max="17" width="6" style="4" bestFit="1" customWidth="1"/>
    <col min="18" max="18" width="8" style="4" bestFit="1" customWidth="1"/>
    <col min="19" max="19" width="72.33203125" style="4" bestFit="1" customWidth="1"/>
    <col min="20" max="20" width="77.5546875" style="4" bestFit="1" customWidth="1"/>
    <col min="21" max="21" width="17.44140625" style="4" bestFit="1" customWidth="1"/>
    <col min="22" max="22" width="18.77734375" style="4" bestFit="1" customWidth="1"/>
    <col min="23" max="23" width="16.5546875" style="4" bestFit="1" customWidth="1"/>
    <col min="24" max="16384" width="8.88671875" style="4"/>
  </cols>
  <sheetData>
    <row r="1" spans="1:23" s="1" customFormat="1" ht="11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88</v>
      </c>
      <c r="T1" s="1" t="s">
        <v>243</v>
      </c>
      <c r="U1" s="1" t="s">
        <v>18</v>
      </c>
      <c r="V1" s="1" t="s">
        <v>19</v>
      </c>
      <c r="W1" s="1" t="s">
        <v>20</v>
      </c>
    </row>
    <row r="2" spans="1:23" ht="11.25" customHeight="1" x14ac:dyDescent="0.3">
      <c r="A2" s="4" t="s">
        <v>21</v>
      </c>
      <c r="B2" s="4" t="s">
        <v>33</v>
      </c>
      <c r="C2" s="4" t="s">
        <v>34</v>
      </c>
      <c r="D2" s="4" t="s">
        <v>32</v>
      </c>
      <c r="E2" s="4" t="s">
        <v>25</v>
      </c>
      <c r="F2" s="4" t="s">
        <v>25</v>
      </c>
      <c r="G2" s="4" t="s">
        <v>25</v>
      </c>
      <c r="H2" s="4" t="s">
        <v>36</v>
      </c>
      <c r="I2" s="5">
        <v>44440</v>
      </c>
      <c r="J2" s="6">
        <v>609</v>
      </c>
      <c r="K2" s="6">
        <v>609</v>
      </c>
      <c r="L2" s="6">
        <v>206.20699999999999</v>
      </c>
      <c r="M2" s="6">
        <v>206.20699999999999</v>
      </c>
      <c r="N2" s="6">
        <v>206.20699999999999</v>
      </c>
      <c r="O2" s="6">
        <v>206.20699999999999</v>
      </c>
      <c r="P2" s="6">
        <v>0</v>
      </c>
      <c r="Q2" s="4" t="s">
        <v>26</v>
      </c>
      <c r="R2" s="4">
        <v>0</v>
      </c>
      <c r="S2" s="4" t="s">
        <v>89</v>
      </c>
      <c r="T2" s="4" t="s">
        <v>244</v>
      </c>
      <c r="U2" s="4">
        <v>5</v>
      </c>
      <c r="V2" s="4">
        <v>35</v>
      </c>
      <c r="W2" s="4">
        <v>44</v>
      </c>
    </row>
    <row r="3" spans="1:23" ht="11.25" customHeight="1" x14ac:dyDescent="0.3">
      <c r="A3" s="4" t="s">
        <v>21</v>
      </c>
      <c r="B3" s="4" t="s">
        <v>33</v>
      </c>
      <c r="C3" s="4" t="s">
        <v>34</v>
      </c>
      <c r="D3" s="4" t="s">
        <v>32</v>
      </c>
      <c r="E3" s="4" t="s">
        <v>25</v>
      </c>
      <c r="F3" s="4" t="s">
        <v>25</v>
      </c>
      <c r="G3" s="4" t="s">
        <v>25</v>
      </c>
      <c r="H3" s="4" t="s">
        <v>36</v>
      </c>
      <c r="I3" s="5">
        <v>44470</v>
      </c>
      <c r="J3" s="6">
        <v>627</v>
      </c>
      <c r="K3" s="6">
        <v>627</v>
      </c>
      <c r="L3" s="6">
        <v>200.47399999999999</v>
      </c>
      <c r="M3" s="6">
        <v>200.47399999999999</v>
      </c>
      <c r="N3" s="6">
        <v>200.47399999999999</v>
      </c>
      <c r="O3" s="6">
        <v>200.47399999999999</v>
      </c>
      <c r="P3" s="6">
        <v>0</v>
      </c>
      <c r="Q3" s="4" t="s">
        <v>26</v>
      </c>
      <c r="R3" s="4">
        <v>0</v>
      </c>
      <c r="S3" s="4" t="s">
        <v>90</v>
      </c>
      <c r="T3" s="4" t="s">
        <v>245</v>
      </c>
      <c r="U3" s="4">
        <v>5</v>
      </c>
      <c r="V3" s="4">
        <v>35</v>
      </c>
      <c r="W3" s="4">
        <v>44</v>
      </c>
    </row>
    <row r="4" spans="1:23" ht="11.25" customHeight="1" x14ac:dyDescent="0.3">
      <c r="A4" s="4" t="s">
        <v>21</v>
      </c>
      <c r="B4" s="4" t="s">
        <v>33</v>
      </c>
      <c r="C4" s="4" t="s">
        <v>34</v>
      </c>
      <c r="D4" s="4" t="s">
        <v>32</v>
      </c>
      <c r="E4" s="4" t="s">
        <v>25</v>
      </c>
      <c r="F4" s="4" t="s">
        <v>25</v>
      </c>
      <c r="G4" s="4" t="s">
        <v>25</v>
      </c>
      <c r="H4" s="4" t="s">
        <v>36</v>
      </c>
      <c r="I4" s="5">
        <v>44501</v>
      </c>
      <c r="J4" s="6">
        <v>611</v>
      </c>
      <c r="K4" s="6">
        <v>611</v>
      </c>
      <c r="L4" s="6">
        <v>204.06399999999999</v>
      </c>
      <c r="M4" s="6">
        <v>204.06399999999999</v>
      </c>
      <c r="N4" s="6">
        <v>204.06399999999999</v>
      </c>
      <c r="O4" s="6">
        <v>204.06399999999999</v>
      </c>
      <c r="P4" s="6">
        <v>0</v>
      </c>
      <c r="Q4" s="4" t="s">
        <v>26</v>
      </c>
      <c r="R4" s="4">
        <v>0</v>
      </c>
      <c r="S4" s="4" t="s">
        <v>91</v>
      </c>
      <c r="T4" s="4" t="s">
        <v>246</v>
      </c>
      <c r="U4" s="4">
        <v>5</v>
      </c>
      <c r="V4" s="4">
        <v>35</v>
      </c>
      <c r="W4" s="4">
        <v>44</v>
      </c>
    </row>
    <row r="5" spans="1:23" ht="11.25" customHeight="1" x14ac:dyDescent="0.3">
      <c r="A5" s="4" t="s">
        <v>21</v>
      </c>
      <c r="B5" s="4" t="s">
        <v>33</v>
      </c>
      <c r="C5" s="4" t="s">
        <v>34</v>
      </c>
      <c r="D5" s="4" t="s">
        <v>32</v>
      </c>
      <c r="E5" s="4" t="s">
        <v>25</v>
      </c>
      <c r="F5" s="4" t="s">
        <v>25</v>
      </c>
      <c r="G5" s="4" t="s">
        <v>25</v>
      </c>
      <c r="H5" s="4" t="s">
        <v>36</v>
      </c>
      <c r="I5" s="5">
        <v>44531</v>
      </c>
      <c r="J5" s="6">
        <v>749</v>
      </c>
      <c r="K5" s="6">
        <v>749</v>
      </c>
      <c r="L5" s="6">
        <v>229.10900000000001</v>
      </c>
      <c r="M5" s="6">
        <v>229.10900000000001</v>
      </c>
      <c r="N5" s="6">
        <v>229.10900000000001</v>
      </c>
      <c r="O5" s="6">
        <v>229.10900000000001</v>
      </c>
      <c r="P5" s="6">
        <v>0</v>
      </c>
      <c r="Q5" s="4" t="s">
        <v>26</v>
      </c>
      <c r="R5" s="4">
        <v>0</v>
      </c>
      <c r="S5" s="4" t="s">
        <v>92</v>
      </c>
      <c r="T5" s="4" t="s">
        <v>247</v>
      </c>
      <c r="U5" s="4">
        <v>5</v>
      </c>
      <c r="V5" s="4">
        <v>35</v>
      </c>
      <c r="W5" s="4">
        <v>44</v>
      </c>
    </row>
    <row r="6" spans="1:23" ht="11.25" customHeight="1" x14ac:dyDescent="0.3">
      <c r="A6" s="4" t="s">
        <v>21</v>
      </c>
      <c r="B6" s="4" t="s">
        <v>33</v>
      </c>
      <c r="C6" s="4" t="s">
        <v>34</v>
      </c>
      <c r="D6" s="4" t="s">
        <v>32</v>
      </c>
      <c r="E6" s="4" t="s">
        <v>25</v>
      </c>
      <c r="F6" s="4" t="s">
        <v>25</v>
      </c>
      <c r="G6" s="4" t="s">
        <v>25</v>
      </c>
      <c r="H6" s="4" t="s">
        <v>36</v>
      </c>
      <c r="I6" s="5">
        <v>44562</v>
      </c>
      <c r="J6" s="6">
        <v>715</v>
      </c>
      <c r="K6" s="6">
        <v>715</v>
      </c>
      <c r="L6" s="6">
        <v>235.41499999999999</v>
      </c>
      <c r="M6" s="6">
        <v>235.41499999999999</v>
      </c>
      <c r="N6" s="6">
        <v>235.41499999999999</v>
      </c>
      <c r="O6" s="6">
        <v>235.41499999999999</v>
      </c>
      <c r="P6" s="6">
        <v>0</v>
      </c>
      <c r="Q6" s="4" t="s">
        <v>26</v>
      </c>
      <c r="R6" s="4">
        <v>0</v>
      </c>
      <c r="S6" s="4" t="s">
        <v>93</v>
      </c>
      <c r="T6" s="4" t="s">
        <v>248</v>
      </c>
      <c r="U6" s="4">
        <v>5</v>
      </c>
      <c r="V6" s="4">
        <v>35</v>
      </c>
      <c r="W6" s="4">
        <v>44</v>
      </c>
    </row>
    <row r="7" spans="1:23" ht="11.25" customHeight="1" x14ac:dyDescent="0.3">
      <c r="A7" s="4" t="s">
        <v>21</v>
      </c>
      <c r="B7" s="4" t="s">
        <v>33</v>
      </c>
      <c r="C7" s="4" t="s">
        <v>34</v>
      </c>
      <c r="D7" s="4" t="s">
        <v>32</v>
      </c>
      <c r="E7" s="4" t="s">
        <v>25</v>
      </c>
      <c r="F7" s="4" t="s">
        <v>25</v>
      </c>
      <c r="G7" s="4" t="s">
        <v>25</v>
      </c>
      <c r="H7" s="4" t="s">
        <v>36</v>
      </c>
      <c r="I7" s="5">
        <v>44593</v>
      </c>
      <c r="J7" s="6">
        <v>715</v>
      </c>
      <c r="K7" s="6">
        <v>715</v>
      </c>
      <c r="L7" s="6">
        <v>181.595</v>
      </c>
      <c r="M7" s="6">
        <v>181.595</v>
      </c>
      <c r="N7" s="6">
        <v>181.595</v>
      </c>
      <c r="O7" s="6">
        <v>181.595</v>
      </c>
      <c r="P7" s="6">
        <v>0</v>
      </c>
      <c r="Q7" s="4" t="s">
        <v>26</v>
      </c>
      <c r="R7" s="4">
        <v>0</v>
      </c>
      <c r="S7" s="4" t="s">
        <v>94</v>
      </c>
      <c r="T7" s="4" t="s">
        <v>249</v>
      </c>
      <c r="U7" s="4">
        <v>5</v>
      </c>
      <c r="V7" s="4">
        <v>35</v>
      </c>
      <c r="W7" s="4">
        <v>44</v>
      </c>
    </row>
    <row r="8" spans="1:23" ht="11.25" customHeight="1" x14ac:dyDescent="0.3">
      <c r="A8" s="4" t="s">
        <v>21</v>
      </c>
      <c r="B8" s="4" t="s">
        <v>33</v>
      </c>
      <c r="C8" s="4" t="s">
        <v>34</v>
      </c>
      <c r="D8" s="4" t="s">
        <v>32</v>
      </c>
      <c r="E8" s="4" t="s">
        <v>25</v>
      </c>
      <c r="F8" s="4" t="s">
        <v>25</v>
      </c>
      <c r="G8" s="4" t="s">
        <v>25</v>
      </c>
      <c r="H8" s="4" t="s">
        <v>36</v>
      </c>
      <c r="I8" s="5">
        <v>44621</v>
      </c>
      <c r="J8" s="6">
        <v>727</v>
      </c>
      <c r="K8" s="6">
        <v>727</v>
      </c>
      <c r="L8" s="6">
        <v>251.02199999999999</v>
      </c>
      <c r="M8" s="6">
        <v>251.02199999999999</v>
      </c>
      <c r="N8" s="6">
        <v>251.02199999999999</v>
      </c>
      <c r="O8" s="6">
        <v>251.02199999999999</v>
      </c>
      <c r="P8" s="6">
        <v>0</v>
      </c>
      <c r="Q8" s="4" t="s">
        <v>26</v>
      </c>
      <c r="R8" s="4">
        <v>0</v>
      </c>
      <c r="S8" s="4" t="s">
        <v>95</v>
      </c>
      <c r="T8" s="4" t="s">
        <v>250</v>
      </c>
      <c r="U8" s="4">
        <v>5</v>
      </c>
      <c r="V8" s="4">
        <v>35</v>
      </c>
      <c r="W8" s="4">
        <v>44</v>
      </c>
    </row>
    <row r="9" spans="1:23" ht="11.25" customHeight="1" x14ac:dyDescent="0.3">
      <c r="A9" s="4" t="s">
        <v>21</v>
      </c>
      <c r="B9" s="4" t="s">
        <v>33</v>
      </c>
      <c r="C9" s="4" t="s">
        <v>34</v>
      </c>
      <c r="D9" s="4" t="s">
        <v>32</v>
      </c>
      <c r="E9" s="4" t="s">
        <v>25</v>
      </c>
      <c r="F9" s="4" t="s">
        <v>25</v>
      </c>
      <c r="G9" s="4" t="s">
        <v>25</v>
      </c>
      <c r="H9" s="4" t="s">
        <v>36</v>
      </c>
      <c r="I9" s="5">
        <v>44652</v>
      </c>
      <c r="J9" s="6">
        <v>715</v>
      </c>
      <c r="K9" s="6">
        <v>715</v>
      </c>
      <c r="L9" s="6">
        <v>230.482</v>
      </c>
      <c r="M9" s="6">
        <v>230.482</v>
      </c>
      <c r="N9" s="6">
        <v>230.482</v>
      </c>
      <c r="O9" s="6">
        <v>230.482</v>
      </c>
      <c r="P9" s="6">
        <v>0</v>
      </c>
      <c r="Q9" s="4" t="s">
        <v>26</v>
      </c>
      <c r="R9" s="4">
        <v>0</v>
      </c>
      <c r="S9" s="4" t="s">
        <v>96</v>
      </c>
      <c r="T9" s="4" t="s">
        <v>251</v>
      </c>
      <c r="U9" s="4">
        <v>5</v>
      </c>
      <c r="V9" s="4">
        <v>35</v>
      </c>
      <c r="W9" s="4">
        <v>44</v>
      </c>
    </row>
    <row r="10" spans="1:23" ht="11.25" customHeight="1" x14ac:dyDescent="0.3">
      <c r="A10" s="4" t="s">
        <v>21</v>
      </c>
      <c r="B10" s="4" t="s">
        <v>33</v>
      </c>
      <c r="C10" s="4" t="s">
        <v>34</v>
      </c>
      <c r="D10" s="4" t="s">
        <v>32</v>
      </c>
      <c r="E10" s="4" t="s">
        <v>25</v>
      </c>
      <c r="F10" s="4" t="s">
        <v>25</v>
      </c>
      <c r="G10" s="4" t="s">
        <v>25</v>
      </c>
      <c r="H10" s="4" t="s">
        <v>36</v>
      </c>
      <c r="I10" s="5">
        <v>44682</v>
      </c>
      <c r="J10" s="6">
        <v>715</v>
      </c>
      <c r="K10" s="6">
        <v>715</v>
      </c>
      <c r="L10" s="6">
        <v>240.447</v>
      </c>
      <c r="M10" s="6">
        <v>240.447</v>
      </c>
      <c r="N10" s="6">
        <v>240.447</v>
      </c>
      <c r="O10" s="6">
        <v>240.447</v>
      </c>
      <c r="P10" s="6">
        <v>0</v>
      </c>
      <c r="Q10" s="4" t="s">
        <v>26</v>
      </c>
      <c r="R10" s="4">
        <v>0</v>
      </c>
      <c r="S10" s="4" t="s">
        <v>97</v>
      </c>
      <c r="T10" s="4" t="s">
        <v>252</v>
      </c>
      <c r="U10" s="4">
        <v>5</v>
      </c>
      <c r="V10" s="4">
        <v>35</v>
      </c>
      <c r="W10" s="4">
        <v>44</v>
      </c>
    </row>
    <row r="11" spans="1:23" ht="11.25" customHeight="1" x14ac:dyDescent="0.3">
      <c r="A11" s="4" t="s">
        <v>21</v>
      </c>
      <c r="B11" s="4" t="s">
        <v>33</v>
      </c>
      <c r="C11" s="4" t="s">
        <v>34</v>
      </c>
      <c r="D11" s="4" t="s">
        <v>32</v>
      </c>
      <c r="E11" s="4" t="s">
        <v>25</v>
      </c>
      <c r="F11" s="4" t="s">
        <v>25</v>
      </c>
      <c r="G11" s="4" t="s">
        <v>25</v>
      </c>
      <c r="H11" s="4" t="s">
        <v>36</v>
      </c>
      <c r="I11" s="5">
        <v>44713</v>
      </c>
      <c r="J11" s="6">
        <v>715</v>
      </c>
      <c r="K11" s="6">
        <v>715</v>
      </c>
      <c r="L11" s="6">
        <v>224.15799999999999</v>
      </c>
      <c r="M11" s="6">
        <v>224.15799999999999</v>
      </c>
      <c r="N11" s="6">
        <v>224.15799999999999</v>
      </c>
      <c r="O11" s="6">
        <v>224.15799999999999</v>
      </c>
      <c r="P11" s="6">
        <v>0</v>
      </c>
      <c r="Q11" s="4" t="s">
        <v>26</v>
      </c>
      <c r="R11" s="4">
        <v>0</v>
      </c>
      <c r="S11" s="4" t="s">
        <v>98</v>
      </c>
      <c r="T11" s="4" t="s">
        <v>253</v>
      </c>
      <c r="U11" s="4">
        <v>5</v>
      </c>
      <c r="V11" s="4">
        <v>35</v>
      </c>
      <c r="W11" s="4">
        <v>44</v>
      </c>
    </row>
    <row r="12" spans="1:23" ht="11.25" customHeight="1" x14ac:dyDescent="0.3">
      <c r="A12" s="4" t="s">
        <v>21</v>
      </c>
      <c r="B12" s="4" t="s">
        <v>33</v>
      </c>
      <c r="C12" s="4" t="s">
        <v>34</v>
      </c>
      <c r="D12" s="4" t="s">
        <v>32</v>
      </c>
      <c r="E12" s="4" t="s">
        <v>25</v>
      </c>
      <c r="F12" s="4" t="s">
        <v>25</v>
      </c>
      <c r="G12" s="4" t="s">
        <v>25</v>
      </c>
      <c r="H12" s="4" t="s">
        <v>36</v>
      </c>
      <c r="I12" s="5">
        <v>44743</v>
      </c>
      <c r="J12" s="6">
        <v>715</v>
      </c>
      <c r="K12" s="6">
        <v>715</v>
      </c>
      <c r="L12" s="6">
        <v>219.958</v>
      </c>
      <c r="M12" s="6">
        <v>219.958</v>
      </c>
      <c r="N12" s="6">
        <v>219.958</v>
      </c>
      <c r="O12" s="6">
        <v>219.958</v>
      </c>
      <c r="P12" s="6">
        <v>0</v>
      </c>
      <c r="Q12" s="4" t="s">
        <v>26</v>
      </c>
      <c r="R12" s="4">
        <v>0</v>
      </c>
      <c r="S12" s="4" t="s">
        <v>99</v>
      </c>
      <c r="T12" s="4" t="s">
        <v>254</v>
      </c>
      <c r="U12" s="4">
        <v>5</v>
      </c>
      <c r="V12" s="4">
        <v>35</v>
      </c>
      <c r="W12" s="4">
        <v>44</v>
      </c>
    </row>
    <row r="13" spans="1:23" ht="11.25" customHeight="1" x14ac:dyDescent="0.3">
      <c r="A13" s="4" t="s">
        <v>21</v>
      </c>
      <c r="B13" s="4" t="s">
        <v>33</v>
      </c>
      <c r="C13" s="4" t="s">
        <v>34</v>
      </c>
      <c r="D13" s="4" t="s">
        <v>32</v>
      </c>
      <c r="E13" s="4" t="s">
        <v>25</v>
      </c>
      <c r="F13" s="4" t="s">
        <v>25</v>
      </c>
      <c r="G13" s="4" t="s">
        <v>25</v>
      </c>
      <c r="H13" s="4" t="s">
        <v>36</v>
      </c>
      <c r="I13" s="5">
        <v>44774</v>
      </c>
      <c r="J13" s="6">
        <v>715</v>
      </c>
      <c r="K13" s="6">
        <v>715</v>
      </c>
      <c r="L13" s="6">
        <v>214.732</v>
      </c>
      <c r="M13" s="6">
        <v>214.732</v>
      </c>
      <c r="N13" s="6">
        <v>214.732</v>
      </c>
      <c r="O13" s="6">
        <v>214.732</v>
      </c>
      <c r="P13" s="6">
        <v>0</v>
      </c>
      <c r="Q13" s="4" t="s">
        <v>26</v>
      </c>
      <c r="R13" s="4">
        <v>0</v>
      </c>
      <c r="S13" s="4" t="s">
        <v>100</v>
      </c>
      <c r="T13" s="4" t="s">
        <v>255</v>
      </c>
      <c r="U13" s="4">
        <v>5</v>
      </c>
      <c r="V13" s="4">
        <v>35</v>
      </c>
      <c r="W13" s="4">
        <v>44</v>
      </c>
    </row>
    <row r="14" spans="1:23" ht="11.25" customHeight="1" x14ac:dyDescent="0.3">
      <c r="A14" s="4" t="s">
        <v>21</v>
      </c>
      <c r="B14" s="4" t="s">
        <v>33</v>
      </c>
      <c r="C14" s="4" t="s">
        <v>34</v>
      </c>
      <c r="D14" s="4" t="s">
        <v>32</v>
      </c>
      <c r="E14" s="4" t="s">
        <v>25</v>
      </c>
      <c r="F14" s="4" t="s">
        <v>25</v>
      </c>
      <c r="G14" s="4" t="s">
        <v>25</v>
      </c>
      <c r="H14" s="4" t="s">
        <v>35</v>
      </c>
      <c r="I14" s="5">
        <v>44440</v>
      </c>
      <c r="J14" s="6">
        <v>580</v>
      </c>
      <c r="K14" s="6">
        <v>580</v>
      </c>
      <c r="L14" s="6">
        <v>23.847000000000001</v>
      </c>
      <c r="M14" s="6">
        <v>23.847000000000001</v>
      </c>
      <c r="N14" s="6">
        <v>23.847000000000001</v>
      </c>
      <c r="O14" s="6">
        <v>23.847000000000001</v>
      </c>
      <c r="P14" s="6">
        <v>0</v>
      </c>
      <c r="Q14" s="4" t="s">
        <v>26</v>
      </c>
      <c r="R14" s="4">
        <v>0</v>
      </c>
      <c r="S14" s="4" t="s">
        <v>101</v>
      </c>
      <c r="T14" s="4" t="s">
        <v>256</v>
      </c>
      <c r="U14" s="4">
        <v>1</v>
      </c>
      <c r="V14" s="4">
        <v>35</v>
      </c>
      <c r="W14" s="4">
        <v>41</v>
      </c>
    </row>
    <row r="15" spans="1:23" ht="11.25" customHeight="1" x14ac:dyDescent="0.3">
      <c r="A15" s="4" t="s">
        <v>21</v>
      </c>
      <c r="B15" s="4" t="s">
        <v>33</v>
      </c>
      <c r="C15" s="4" t="s">
        <v>34</v>
      </c>
      <c r="D15" s="4" t="s">
        <v>32</v>
      </c>
      <c r="E15" s="4" t="s">
        <v>25</v>
      </c>
      <c r="F15" s="4" t="s">
        <v>25</v>
      </c>
      <c r="G15" s="4" t="s">
        <v>25</v>
      </c>
      <c r="H15" s="4" t="s">
        <v>35</v>
      </c>
      <c r="I15" s="5">
        <v>44470</v>
      </c>
      <c r="J15" s="6">
        <v>580</v>
      </c>
      <c r="K15" s="6">
        <v>580</v>
      </c>
      <c r="L15" s="6">
        <v>23.850999999999999</v>
      </c>
      <c r="M15" s="6">
        <v>23.850999999999999</v>
      </c>
      <c r="N15" s="6">
        <v>23.850999999999999</v>
      </c>
      <c r="O15" s="6">
        <v>23.850999999999999</v>
      </c>
      <c r="P15" s="6">
        <v>0</v>
      </c>
      <c r="Q15" s="4" t="s">
        <v>26</v>
      </c>
      <c r="R15" s="4">
        <v>0</v>
      </c>
      <c r="S15" s="4" t="s">
        <v>102</v>
      </c>
      <c r="T15" s="4" t="s">
        <v>257</v>
      </c>
      <c r="U15" s="4">
        <v>1</v>
      </c>
      <c r="V15" s="4">
        <v>35</v>
      </c>
      <c r="W15" s="4">
        <v>41</v>
      </c>
    </row>
    <row r="16" spans="1:23" ht="11.25" customHeight="1" x14ac:dyDescent="0.3">
      <c r="A16" s="4" t="s">
        <v>21</v>
      </c>
      <c r="B16" s="4" t="s">
        <v>33</v>
      </c>
      <c r="C16" s="4" t="s">
        <v>34</v>
      </c>
      <c r="D16" s="4" t="s">
        <v>32</v>
      </c>
      <c r="E16" s="4" t="s">
        <v>25</v>
      </c>
      <c r="F16" s="4" t="s">
        <v>25</v>
      </c>
      <c r="G16" s="4" t="s">
        <v>25</v>
      </c>
      <c r="H16" s="4" t="s">
        <v>35</v>
      </c>
      <c r="I16" s="5">
        <v>44501</v>
      </c>
      <c r="J16" s="6">
        <v>605</v>
      </c>
      <c r="K16" s="6">
        <v>605</v>
      </c>
      <c r="L16" s="6">
        <v>25.48</v>
      </c>
      <c r="M16" s="6">
        <v>25.48</v>
      </c>
      <c r="N16" s="6">
        <v>25.48</v>
      </c>
      <c r="O16" s="6">
        <v>25.48</v>
      </c>
      <c r="P16" s="6">
        <v>0</v>
      </c>
      <c r="Q16" s="4" t="s">
        <v>26</v>
      </c>
      <c r="R16" s="4">
        <v>0</v>
      </c>
      <c r="S16" s="4" t="s">
        <v>103</v>
      </c>
      <c r="T16" s="4" t="s">
        <v>258</v>
      </c>
      <c r="U16" s="4">
        <v>1</v>
      </c>
      <c r="V16" s="4">
        <v>35</v>
      </c>
      <c r="W16" s="4">
        <v>41</v>
      </c>
    </row>
    <row r="17" spans="1:23" ht="11.25" customHeight="1" x14ac:dyDescent="0.3">
      <c r="A17" s="4" t="s">
        <v>21</v>
      </c>
      <c r="B17" s="4" t="s">
        <v>33</v>
      </c>
      <c r="C17" s="4" t="s">
        <v>34</v>
      </c>
      <c r="D17" s="4" t="s">
        <v>32</v>
      </c>
      <c r="E17" s="4" t="s">
        <v>25</v>
      </c>
      <c r="F17" s="4" t="s">
        <v>25</v>
      </c>
      <c r="G17" s="4" t="s">
        <v>25</v>
      </c>
      <c r="H17" s="4" t="s">
        <v>35</v>
      </c>
      <c r="I17" s="5">
        <v>44531</v>
      </c>
      <c r="J17" s="6">
        <v>744</v>
      </c>
      <c r="K17" s="6">
        <v>744</v>
      </c>
      <c r="L17" s="6">
        <v>33.853999999999999</v>
      </c>
      <c r="M17" s="6">
        <v>33.853999999999999</v>
      </c>
      <c r="N17" s="6">
        <v>33.853999999999999</v>
      </c>
      <c r="O17" s="6">
        <v>33.853999999999999</v>
      </c>
      <c r="P17" s="6">
        <v>0</v>
      </c>
      <c r="Q17" s="4" t="s">
        <v>26</v>
      </c>
      <c r="R17" s="4">
        <v>0</v>
      </c>
      <c r="S17" s="4" t="s">
        <v>104</v>
      </c>
      <c r="T17" s="4" t="s">
        <v>259</v>
      </c>
      <c r="U17" s="4">
        <v>1</v>
      </c>
      <c r="V17" s="4">
        <v>35</v>
      </c>
      <c r="W17" s="4">
        <v>41</v>
      </c>
    </row>
    <row r="18" spans="1:23" ht="11.25" customHeight="1" x14ac:dyDescent="0.3">
      <c r="A18" s="4" t="s">
        <v>21</v>
      </c>
      <c r="B18" s="4" t="s">
        <v>33</v>
      </c>
      <c r="C18" s="4" t="s">
        <v>34</v>
      </c>
      <c r="D18" s="4" t="s">
        <v>32</v>
      </c>
      <c r="E18" s="4" t="s">
        <v>25</v>
      </c>
      <c r="F18" s="4" t="s">
        <v>25</v>
      </c>
      <c r="G18" s="4" t="s">
        <v>25</v>
      </c>
      <c r="H18" s="4" t="s">
        <v>35</v>
      </c>
      <c r="I18" s="5">
        <v>44562</v>
      </c>
      <c r="J18" s="6">
        <v>715</v>
      </c>
      <c r="K18" s="6">
        <v>715</v>
      </c>
      <c r="L18" s="6">
        <v>33.731000000000002</v>
      </c>
      <c r="M18" s="6">
        <v>33.731000000000002</v>
      </c>
      <c r="N18" s="6">
        <v>33.731000000000002</v>
      </c>
      <c r="O18" s="6">
        <v>33.731000000000002</v>
      </c>
      <c r="P18" s="6">
        <v>0</v>
      </c>
      <c r="Q18" s="4" t="s">
        <v>26</v>
      </c>
      <c r="R18" s="4">
        <v>0</v>
      </c>
      <c r="S18" s="4" t="s">
        <v>105</v>
      </c>
      <c r="T18" s="4" t="s">
        <v>260</v>
      </c>
      <c r="U18" s="4">
        <v>1</v>
      </c>
      <c r="V18" s="4">
        <v>35</v>
      </c>
      <c r="W18" s="4">
        <v>41</v>
      </c>
    </row>
    <row r="19" spans="1:23" ht="11.25" customHeight="1" x14ac:dyDescent="0.3">
      <c r="A19" s="4" t="s">
        <v>21</v>
      </c>
      <c r="B19" s="4" t="s">
        <v>33</v>
      </c>
      <c r="C19" s="4" t="s">
        <v>34</v>
      </c>
      <c r="D19" s="4" t="s">
        <v>32</v>
      </c>
      <c r="E19" s="4" t="s">
        <v>25</v>
      </c>
      <c r="F19" s="4" t="s">
        <v>25</v>
      </c>
      <c r="G19" s="4" t="s">
        <v>25</v>
      </c>
      <c r="H19" s="4" t="s">
        <v>35</v>
      </c>
      <c r="I19" s="5">
        <v>44593</v>
      </c>
      <c r="J19" s="6">
        <v>715</v>
      </c>
      <c r="K19" s="6">
        <v>715</v>
      </c>
      <c r="L19" s="6">
        <v>24.837</v>
      </c>
      <c r="M19" s="6">
        <v>24.837</v>
      </c>
      <c r="N19" s="6">
        <v>24.837</v>
      </c>
      <c r="O19" s="6">
        <v>24.837</v>
      </c>
      <c r="P19" s="6">
        <v>0</v>
      </c>
      <c r="Q19" s="4" t="s">
        <v>26</v>
      </c>
      <c r="R19" s="4">
        <v>0</v>
      </c>
      <c r="S19" s="4" t="s">
        <v>106</v>
      </c>
      <c r="T19" s="4" t="s">
        <v>261</v>
      </c>
      <c r="U19" s="4">
        <v>1</v>
      </c>
      <c r="V19" s="4">
        <v>35</v>
      </c>
      <c r="W19" s="4">
        <v>41</v>
      </c>
    </row>
    <row r="20" spans="1:23" ht="11.25" customHeight="1" x14ac:dyDescent="0.3">
      <c r="A20" s="4" t="s">
        <v>21</v>
      </c>
      <c r="B20" s="4" t="s">
        <v>33</v>
      </c>
      <c r="C20" s="4" t="s">
        <v>34</v>
      </c>
      <c r="D20" s="4" t="s">
        <v>32</v>
      </c>
      <c r="E20" s="4" t="s">
        <v>25</v>
      </c>
      <c r="F20" s="4" t="s">
        <v>25</v>
      </c>
      <c r="G20" s="4" t="s">
        <v>25</v>
      </c>
      <c r="H20" s="4" t="s">
        <v>35</v>
      </c>
      <c r="I20" s="5">
        <v>44621</v>
      </c>
      <c r="J20" s="6">
        <v>715</v>
      </c>
      <c r="K20" s="6">
        <v>715</v>
      </c>
      <c r="L20" s="6">
        <v>34.512</v>
      </c>
      <c r="M20" s="6">
        <v>34.512</v>
      </c>
      <c r="N20" s="6">
        <v>34.512</v>
      </c>
      <c r="O20" s="6">
        <v>34.512</v>
      </c>
      <c r="P20" s="6">
        <v>0</v>
      </c>
      <c r="Q20" s="4" t="s">
        <v>26</v>
      </c>
      <c r="R20" s="4">
        <v>0</v>
      </c>
      <c r="S20" s="4" t="s">
        <v>107</v>
      </c>
      <c r="T20" s="4" t="s">
        <v>262</v>
      </c>
      <c r="U20" s="4">
        <v>1</v>
      </c>
      <c r="V20" s="4">
        <v>35</v>
      </c>
      <c r="W20" s="4">
        <v>41</v>
      </c>
    </row>
    <row r="21" spans="1:23" ht="11.25" customHeight="1" x14ac:dyDescent="0.3">
      <c r="A21" s="4" t="s">
        <v>21</v>
      </c>
      <c r="B21" s="4" t="s">
        <v>33</v>
      </c>
      <c r="C21" s="4" t="s">
        <v>34</v>
      </c>
      <c r="D21" s="4" t="s">
        <v>32</v>
      </c>
      <c r="E21" s="4" t="s">
        <v>25</v>
      </c>
      <c r="F21" s="4" t="s">
        <v>25</v>
      </c>
      <c r="G21" s="4" t="s">
        <v>25</v>
      </c>
      <c r="H21" s="4" t="s">
        <v>35</v>
      </c>
      <c r="I21" s="5">
        <v>44652</v>
      </c>
      <c r="J21" s="6">
        <v>715</v>
      </c>
      <c r="K21" s="6">
        <v>715</v>
      </c>
      <c r="L21" s="6">
        <v>29.952000000000002</v>
      </c>
      <c r="M21" s="6">
        <v>29.952000000000002</v>
      </c>
      <c r="N21" s="6">
        <v>29.952000000000002</v>
      </c>
      <c r="O21" s="6">
        <v>29.952000000000002</v>
      </c>
      <c r="P21" s="6">
        <v>0</v>
      </c>
      <c r="Q21" s="4" t="s">
        <v>26</v>
      </c>
      <c r="R21" s="4">
        <v>0</v>
      </c>
      <c r="S21" s="4" t="s">
        <v>108</v>
      </c>
      <c r="T21" s="4" t="s">
        <v>263</v>
      </c>
      <c r="U21" s="4">
        <v>1</v>
      </c>
      <c r="V21" s="4">
        <v>35</v>
      </c>
      <c r="W21" s="4">
        <v>41</v>
      </c>
    </row>
    <row r="22" spans="1:23" ht="11.25" customHeight="1" x14ac:dyDescent="0.3">
      <c r="A22" s="4" t="s">
        <v>21</v>
      </c>
      <c r="B22" s="4" t="s">
        <v>33</v>
      </c>
      <c r="C22" s="4" t="s">
        <v>34</v>
      </c>
      <c r="D22" s="4" t="s">
        <v>32</v>
      </c>
      <c r="E22" s="4" t="s">
        <v>25</v>
      </c>
      <c r="F22" s="4" t="s">
        <v>25</v>
      </c>
      <c r="G22" s="4" t="s">
        <v>25</v>
      </c>
      <c r="H22" s="4" t="s">
        <v>35</v>
      </c>
      <c r="I22" s="5">
        <v>44682</v>
      </c>
      <c r="J22" s="6">
        <v>715</v>
      </c>
      <c r="K22" s="6">
        <v>715</v>
      </c>
      <c r="L22" s="6">
        <v>34.067999999999998</v>
      </c>
      <c r="M22" s="6">
        <v>34.067999999999998</v>
      </c>
      <c r="N22" s="6">
        <v>34.067999999999998</v>
      </c>
      <c r="O22" s="6">
        <v>34.067999999999998</v>
      </c>
      <c r="P22" s="6">
        <v>0</v>
      </c>
      <c r="Q22" s="4" t="s">
        <v>26</v>
      </c>
      <c r="R22" s="4">
        <v>0</v>
      </c>
      <c r="S22" s="4" t="s">
        <v>109</v>
      </c>
      <c r="T22" s="4" t="s">
        <v>264</v>
      </c>
      <c r="U22" s="4">
        <v>1</v>
      </c>
      <c r="V22" s="4">
        <v>35</v>
      </c>
      <c r="W22" s="4">
        <v>41</v>
      </c>
    </row>
    <row r="23" spans="1:23" ht="11.25" customHeight="1" x14ac:dyDescent="0.3">
      <c r="A23" s="4" t="s">
        <v>21</v>
      </c>
      <c r="B23" s="4" t="s">
        <v>33</v>
      </c>
      <c r="C23" s="4" t="s">
        <v>34</v>
      </c>
      <c r="D23" s="4" t="s">
        <v>32</v>
      </c>
      <c r="E23" s="4" t="s">
        <v>25</v>
      </c>
      <c r="F23" s="4" t="s">
        <v>25</v>
      </c>
      <c r="G23" s="4" t="s">
        <v>25</v>
      </c>
      <c r="H23" s="4" t="s">
        <v>35</v>
      </c>
      <c r="I23" s="5">
        <v>44713</v>
      </c>
      <c r="J23" s="6">
        <v>715</v>
      </c>
      <c r="K23" s="6">
        <v>715</v>
      </c>
      <c r="L23" s="6">
        <v>29.943999999999999</v>
      </c>
      <c r="M23" s="6">
        <v>29.943999999999999</v>
      </c>
      <c r="N23" s="6">
        <v>29.943999999999999</v>
      </c>
      <c r="O23" s="6">
        <v>29.943999999999999</v>
      </c>
      <c r="P23" s="6">
        <v>0</v>
      </c>
      <c r="Q23" s="4" t="s">
        <v>26</v>
      </c>
      <c r="R23" s="4">
        <v>0</v>
      </c>
      <c r="S23" s="4" t="s">
        <v>110</v>
      </c>
      <c r="T23" s="4" t="s">
        <v>265</v>
      </c>
      <c r="U23" s="4">
        <v>1</v>
      </c>
      <c r="V23" s="4">
        <v>35</v>
      </c>
      <c r="W23" s="4">
        <v>41</v>
      </c>
    </row>
    <row r="24" spans="1:23" ht="11.25" customHeight="1" x14ac:dyDescent="0.3">
      <c r="A24" s="4" t="s">
        <v>21</v>
      </c>
      <c r="B24" s="4" t="s">
        <v>33</v>
      </c>
      <c r="C24" s="4" t="s">
        <v>34</v>
      </c>
      <c r="D24" s="4" t="s">
        <v>32</v>
      </c>
      <c r="E24" s="4" t="s">
        <v>25</v>
      </c>
      <c r="F24" s="4" t="s">
        <v>25</v>
      </c>
      <c r="G24" s="4" t="s">
        <v>25</v>
      </c>
      <c r="H24" s="4" t="s">
        <v>35</v>
      </c>
      <c r="I24" s="5">
        <v>44743</v>
      </c>
      <c r="J24" s="6">
        <v>715</v>
      </c>
      <c r="K24" s="6">
        <v>715</v>
      </c>
      <c r="L24" s="6">
        <v>30.140999999999998</v>
      </c>
      <c r="M24" s="6">
        <v>30.140999999999998</v>
      </c>
      <c r="N24" s="6">
        <v>30.140999999999998</v>
      </c>
      <c r="O24" s="6">
        <v>30.140999999999998</v>
      </c>
      <c r="P24" s="6">
        <v>0</v>
      </c>
      <c r="Q24" s="4" t="s">
        <v>26</v>
      </c>
      <c r="R24" s="4">
        <v>0</v>
      </c>
      <c r="S24" s="4" t="s">
        <v>111</v>
      </c>
      <c r="T24" s="4" t="s">
        <v>266</v>
      </c>
      <c r="U24" s="4">
        <v>1</v>
      </c>
      <c r="V24" s="4">
        <v>35</v>
      </c>
      <c r="W24" s="4">
        <v>41</v>
      </c>
    </row>
    <row r="25" spans="1:23" ht="11.25" customHeight="1" x14ac:dyDescent="0.3">
      <c r="A25" s="4" t="s">
        <v>21</v>
      </c>
      <c r="B25" s="4" t="s">
        <v>33</v>
      </c>
      <c r="C25" s="4" t="s">
        <v>34</v>
      </c>
      <c r="D25" s="4" t="s">
        <v>32</v>
      </c>
      <c r="E25" s="4" t="s">
        <v>25</v>
      </c>
      <c r="F25" s="4" t="s">
        <v>25</v>
      </c>
      <c r="G25" s="4" t="s">
        <v>25</v>
      </c>
      <c r="H25" s="4" t="s">
        <v>35</v>
      </c>
      <c r="I25" s="5">
        <v>44774</v>
      </c>
      <c r="J25" s="6">
        <v>715</v>
      </c>
      <c r="K25" s="6">
        <v>715</v>
      </c>
      <c r="L25" s="6">
        <v>31.896000000000001</v>
      </c>
      <c r="M25" s="6">
        <v>31.896000000000001</v>
      </c>
      <c r="N25" s="6">
        <v>31.896000000000001</v>
      </c>
      <c r="O25" s="6">
        <v>31.896000000000001</v>
      </c>
      <c r="P25" s="6">
        <v>0</v>
      </c>
      <c r="Q25" s="4" t="s">
        <v>26</v>
      </c>
      <c r="R25" s="4">
        <v>0</v>
      </c>
      <c r="S25" s="4" t="s">
        <v>112</v>
      </c>
      <c r="T25" s="4" t="s">
        <v>267</v>
      </c>
      <c r="U25" s="4">
        <v>1</v>
      </c>
      <c r="V25" s="4">
        <v>35</v>
      </c>
      <c r="W25" s="4">
        <v>41</v>
      </c>
    </row>
    <row r="26" spans="1:23" ht="11.25" customHeight="1" x14ac:dyDescent="0.3">
      <c r="A26" s="4" t="s">
        <v>21</v>
      </c>
      <c r="B26" s="4" t="s">
        <v>33</v>
      </c>
      <c r="C26" s="4" t="s">
        <v>37</v>
      </c>
      <c r="D26" s="4" t="s">
        <v>32</v>
      </c>
      <c r="E26" s="4" t="s">
        <v>25</v>
      </c>
      <c r="F26" s="4" t="s">
        <v>25</v>
      </c>
      <c r="G26" s="4" t="s">
        <v>25</v>
      </c>
      <c r="H26" s="4" t="s">
        <v>36</v>
      </c>
      <c r="I26" s="5">
        <v>44440</v>
      </c>
      <c r="J26" s="6">
        <v>0</v>
      </c>
      <c r="K26" s="6">
        <v>0</v>
      </c>
      <c r="L26" s="6">
        <v>609.14499999999998</v>
      </c>
      <c r="M26" s="6">
        <v>609.14499999999998</v>
      </c>
      <c r="N26" s="6">
        <v>609.14499999999998</v>
      </c>
      <c r="O26" s="6">
        <v>609.14499999999998</v>
      </c>
      <c r="P26" s="6">
        <v>0</v>
      </c>
      <c r="Q26" s="4" t="s">
        <v>26</v>
      </c>
      <c r="R26" s="4">
        <v>0</v>
      </c>
      <c r="S26" s="4" t="s">
        <v>113</v>
      </c>
      <c r="T26" s="4" t="s">
        <v>244</v>
      </c>
      <c r="U26" s="4">
        <v>0</v>
      </c>
      <c r="V26" s="4">
        <v>14</v>
      </c>
      <c r="W26" s="4">
        <v>44</v>
      </c>
    </row>
    <row r="27" spans="1:23" ht="11.25" customHeight="1" x14ac:dyDescent="0.3">
      <c r="A27" s="4" t="s">
        <v>21</v>
      </c>
      <c r="B27" s="4" t="s">
        <v>33</v>
      </c>
      <c r="C27" s="4" t="s">
        <v>37</v>
      </c>
      <c r="D27" s="4" t="s">
        <v>32</v>
      </c>
      <c r="E27" s="4" t="s">
        <v>25</v>
      </c>
      <c r="F27" s="4" t="s">
        <v>25</v>
      </c>
      <c r="G27" s="4" t="s">
        <v>25</v>
      </c>
      <c r="H27" s="4" t="s">
        <v>36</v>
      </c>
      <c r="I27" s="5">
        <v>44470</v>
      </c>
      <c r="J27" s="6">
        <v>0</v>
      </c>
      <c r="K27" s="6">
        <v>0</v>
      </c>
      <c r="L27" s="6">
        <v>625.97199999999998</v>
      </c>
      <c r="M27" s="6">
        <v>625.97199999999998</v>
      </c>
      <c r="N27" s="6">
        <v>625.97199999999998</v>
      </c>
      <c r="O27" s="6">
        <v>625.97199999999998</v>
      </c>
      <c r="P27" s="6">
        <v>0</v>
      </c>
      <c r="Q27" s="4" t="s">
        <v>26</v>
      </c>
      <c r="R27" s="4">
        <v>0</v>
      </c>
      <c r="S27" s="4" t="s">
        <v>114</v>
      </c>
      <c r="T27" s="4" t="s">
        <v>245</v>
      </c>
      <c r="U27" s="4">
        <v>0</v>
      </c>
      <c r="V27" s="4">
        <v>14</v>
      </c>
      <c r="W27" s="4">
        <v>44</v>
      </c>
    </row>
    <row r="28" spans="1:23" ht="11.25" customHeight="1" x14ac:dyDescent="0.3">
      <c r="A28" s="4" t="s">
        <v>21</v>
      </c>
      <c r="B28" s="4" t="s">
        <v>33</v>
      </c>
      <c r="C28" s="4" t="s">
        <v>37</v>
      </c>
      <c r="D28" s="4" t="s">
        <v>32</v>
      </c>
      <c r="E28" s="4" t="s">
        <v>25</v>
      </c>
      <c r="F28" s="4" t="s">
        <v>25</v>
      </c>
      <c r="G28" s="4" t="s">
        <v>25</v>
      </c>
      <c r="H28" s="4" t="s">
        <v>36</v>
      </c>
      <c r="I28" s="5">
        <v>44501</v>
      </c>
      <c r="J28" s="6">
        <v>0</v>
      </c>
      <c r="K28" s="6">
        <v>0</v>
      </c>
      <c r="L28" s="6">
        <v>651.49599999999998</v>
      </c>
      <c r="M28" s="6">
        <v>651.49599999999998</v>
      </c>
      <c r="N28" s="6">
        <v>651.49599999999998</v>
      </c>
      <c r="O28" s="6">
        <v>651.49599999999998</v>
      </c>
      <c r="P28" s="6">
        <v>0</v>
      </c>
      <c r="Q28" s="4" t="s">
        <v>26</v>
      </c>
      <c r="R28" s="4">
        <v>0</v>
      </c>
      <c r="S28" s="4" t="s">
        <v>115</v>
      </c>
      <c r="T28" s="4" t="s">
        <v>246</v>
      </c>
      <c r="U28" s="4">
        <v>0</v>
      </c>
      <c r="V28" s="4">
        <v>14</v>
      </c>
      <c r="W28" s="4">
        <v>44</v>
      </c>
    </row>
    <row r="29" spans="1:23" ht="11.25" customHeight="1" x14ac:dyDescent="0.3">
      <c r="A29" s="4" t="s">
        <v>21</v>
      </c>
      <c r="B29" s="4" t="s">
        <v>33</v>
      </c>
      <c r="C29" s="4" t="s">
        <v>37</v>
      </c>
      <c r="D29" s="4" t="s">
        <v>32</v>
      </c>
      <c r="E29" s="4" t="s">
        <v>25</v>
      </c>
      <c r="F29" s="4" t="s">
        <v>25</v>
      </c>
      <c r="G29" s="4" t="s">
        <v>25</v>
      </c>
      <c r="H29" s="4" t="s">
        <v>36</v>
      </c>
      <c r="I29" s="5">
        <v>44531</v>
      </c>
      <c r="J29" s="6">
        <v>0</v>
      </c>
      <c r="K29" s="6">
        <v>0</v>
      </c>
      <c r="L29" s="6">
        <v>619.91499999999996</v>
      </c>
      <c r="M29" s="6">
        <v>619.91499999999996</v>
      </c>
      <c r="N29" s="6">
        <v>619.91499999999996</v>
      </c>
      <c r="O29" s="6">
        <v>619.91499999999996</v>
      </c>
      <c r="P29" s="6">
        <v>0</v>
      </c>
      <c r="Q29" s="4" t="s">
        <v>26</v>
      </c>
      <c r="R29" s="4">
        <v>0</v>
      </c>
      <c r="S29" s="4" t="s">
        <v>116</v>
      </c>
      <c r="T29" s="4" t="s">
        <v>247</v>
      </c>
      <c r="U29" s="4">
        <v>0</v>
      </c>
      <c r="V29" s="4">
        <v>14</v>
      </c>
      <c r="W29" s="4">
        <v>44</v>
      </c>
    </row>
    <row r="30" spans="1:23" ht="11.25" customHeight="1" x14ac:dyDescent="0.3">
      <c r="A30" s="4" t="s">
        <v>21</v>
      </c>
      <c r="B30" s="4" t="s">
        <v>33</v>
      </c>
      <c r="C30" s="4" t="s">
        <v>37</v>
      </c>
      <c r="D30" s="4" t="s">
        <v>32</v>
      </c>
      <c r="E30" s="4" t="s">
        <v>25</v>
      </c>
      <c r="F30" s="4" t="s">
        <v>25</v>
      </c>
      <c r="G30" s="4" t="s">
        <v>25</v>
      </c>
      <c r="H30" s="4" t="s">
        <v>36</v>
      </c>
      <c r="I30" s="5">
        <v>44562</v>
      </c>
      <c r="J30" s="6">
        <v>0</v>
      </c>
      <c r="K30" s="6">
        <v>0</v>
      </c>
      <c r="L30" s="6">
        <v>635.73900000000003</v>
      </c>
      <c r="M30" s="6">
        <v>635.73900000000003</v>
      </c>
      <c r="N30" s="6">
        <v>635.73900000000003</v>
      </c>
      <c r="O30" s="6">
        <v>635.73900000000003</v>
      </c>
      <c r="P30" s="6">
        <v>0</v>
      </c>
      <c r="Q30" s="4" t="s">
        <v>26</v>
      </c>
      <c r="R30" s="4">
        <v>0</v>
      </c>
      <c r="S30" s="4" t="s">
        <v>117</v>
      </c>
      <c r="T30" s="4" t="s">
        <v>248</v>
      </c>
      <c r="U30" s="4">
        <v>0</v>
      </c>
      <c r="V30" s="4">
        <v>14</v>
      </c>
      <c r="W30" s="4">
        <v>44</v>
      </c>
    </row>
    <row r="31" spans="1:23" ht="11.25" customHeight="1" x14ac:dyDescent="0.3">
      <c r="A31" s="4" t="s">
        <v>21</v>
      </c>
      <c r="B31" s="4" t="s">
        <v>33</v>
      </c>
      <c r="C31" s="4" t="s">
        <v>37</v>
      </c>
      <c r="D31" s="4" t="s">
        <v>32</v>
      </c>
      <c r="E31" s="4" t="s">
        <v>25</v>
      </c>
      <c r="F31" s="4" t="s">
        <v>25</v>
      </c>
      <c r="G31" s="4" t="s">
        <v>25</v>
      </c>
      <c r="H31" s="4" t="s">
        <v>36</v>
      </c>
      <c r="I31" s="5">
        <v>44593</v>
      </c>
      <c r="J31" s="6">
        <v>0</v>
      </c>
      <c r="K31" s="6">
        <v>0</v>
      </c>
      <c r="L31" s="6">
        <v>546.24300000000005</v>
      </c>
      <c r="M31" s="6">
        <v>546.24300000000005</v>
      </c>
      <c r="N31" s="6">
        <v>546.24300000000005</v>
      </c>
      <c r="O31" s="6">
        <v>546.24300000000005</v>
      </c>
      <c r="P31" s="6">
        <v>0</v>
      </c>
      <c r="Q31" s="4" t="s">
        <v>26</v>
      </c>
      <c r="R31" s="4">
        <v>0</v>
      </c>
      <c r="S31" s="4" t="s">
        <v>118</v>
      </c>
      <c r="T31" s="4" t="s">
        <v>249</v>
      </c>
      <c r="U31" s="4">
        <v>0</v>
      </c>
      <c r="V31" s="4">
        <v>14</v>
      </c>
      <c r="W31" s="4">
        <v>44</v>
      </c>
    </row>
    <row r="32" spans="1:23" ht="11.25" customHeight="1" x14ac:dyDescent="0.3">
      <c r="A32" s="4" t="s">
        <v>21</v>
      </c>
      <c r="B32" s="4" t="s">
        <v>33</v>
      </c>
      <c r="C32" s="4" t="s">
        <v>37</v>
      </c>
      <c r="D32" s="4" t="s">
        <v>32</v>
      </c>
      <c r="E32" s="4" t="s">
        <v>25</v>
      </c>
      <c r="F32" s="4" t="s">
        <v>25</v>
      </c>
      <c r="G32" s="4" t="s">
        <v>25</v>
      </c>
      <c r="H32" s="4" t="s">
        <v>36</v>
      </c>
      <c r="I32" s="5">
        <v>44621</v>
      </c>
      <c r="J32" s="6">
        <v>0</v>
      </c>
      <c r="K32" s="6">
        <v>0</v>
      </c>
      <c r="L32" s="6">
        <v>658.04</v>
      </c>
      <c r="M32" s="6">
        <v>658.04</v>
      </c>
      <c r="N32" s="6">
        <v>658.04</v>
      </c>
      <c r="O32" s="6">
        <v>658.04</v>
      </c>
      <c r="P32" s="6">
        <v>0</v>
      </c>
      <c r="Q32" s="4" t="s">
        <v>26</v>
      </c>
      <c r="R32" s="4">
        <v>0</v>
      </c>
      <c r="S32" s="4" t="s">
        <v>119</v>
      </c>
      <c r="T32" s="4" t="s">
        <v>250</v>
      </c>
      <c r="U32" s="4">
        <v>0</v>
      </c>
      <c r="V32" s="4">
        <v>14</v>
      </c>
      <c r="W32" s="4">
        <v>44</v>
      </c>
    </row>
    <row r="33" spans="1:23" ht="11.25" customHeight="1" x14ac:dyDescent="0.3">
      <c r="A33" s="4" t="s">
        <v>21</v>
      </c>
      <c r="B33" s="4" t="s">
        <v>33</v>
      </c>
      <c r="C33" s="4" t="s">
        <v>37</v>
      </c>
      <c r="D33" s="4" t="s">
        <v>32</v>
      </c>
      <c r="E33" s="4" t="s">
        <v>25</v>
      </c>
      <c r="F33" s="4" t="s">
        <v>25</v>
      </c>
      <c r="G33" s="4" t="s">
        <v>25</v>
      </c>
      <c r="H33" s="4" t="s">
        <v>36</v>
      </c>
      <c r="I33" s="5">
        <v>44652</v>
      </c>
      <c r="J33" s="6">
        <v>0</v>
      </c>
      <c r="K33" s="6">
        <v>0</v>
      </c>
      <c r="L33" s="6">
        <v>640.12900000000002</v>
      </c>
      <c r="M33" s="6">
        <v>640.12900000000002</v>
      </c>
      <c r="N33" s="6">
        <v>640.12900000000002</v>
      </c>
      <c r="O33" s="6">
        <v>640.12900000000002</v>
      </c>
      <c r="P33" s="6">
        <v>0</v>
      </c>
      <c r="Q33" s="4" t="s">
        <v>26</v>
      </c>
      <c r="R33" s="4">
        <v>0</v>
      </c>
      <c r="S33" s="4" t="s">
        <v>120</v>
      </c>
      <c r="T33" s="4" t="s">
        <v>251</v>
      </c>
      <c r="U33" s="4">
        <v>0</v>
      </c>
      <c r="V33" s="4">
        <v>14</v>
      </c>
      <c r="W33" s="4">
        <v>44</v>
      </c>
    </row>
    <row r="34" spans="1:23" ht="11.25" customHeight="1" x14ac:dyDescent="0.3">
      <c r="A34" s="4" t="s">
        <v>21</v>
      </c>
      <c r="B34" s="4" t="s">
        <v>33</v>
      </c>
      <c r="C34" s="4" t="s">
        <v>37</v>
      </c>
      <c r="D34" s="4" t="s">
        <v>32</v>
      </c>
      <c r="E34" s="4" t="s">
        <v>25</v>
      </c>
      <c r="F34" s="4" t="s">
        <v>25</v>
      </c>
      <c r="G34" s="4" t="s">
        <v>25</v>
      </c>
      <c r="H34" s="4" t="s">
        <v>36</v>
      </c>
      <c r="I34" s="5">
        <v>44682</v>
      </c>
      <c r="J34" s="6">
        <v>0</v>
      </c>
      <c r="K34" s="6">
        <v>0</v>
      </c>
      <c r="L34" s="6">
        <v>681.37400000000002</v>
      </c>
      <c r="M34" s="6">
        <v>681.37400000000002</v>
      </c>
      <c r="N34" s="6">
        <v>681.37400000000002</v>
      </c>
      <c r="O34" s="6">
        <v>681.37400000000002</v>
      </c>
      <c r="P34" s="6">
        <v>0</v>
      </c>
      <c r="Q34" s="4" t="s">
        <v>26</v>
      </c>
      <c r="R34" s="4">
        <v>0</v>
      </c>
      <c r="S34" s="4" t="s">
        <v>121</v>
      </c>
      <c r="T34" s="4" t="s">
        <v>252</v>
      </c>
      <c r="U34" s="4">
        <v>0</v>
      </c>
      <c r="V34" s="4">
        <v>14</v>
      </c>
      <c r="W34" s="4">
        <v>44</v>
      </c>
    </row>
    <row r="35" spans="1:23" ht="11.25" customHeight="1" x14ac:dyDescent="0.3">
      <c r="A35" s="4" t="s">
        <v>21</v>
      </c>
      <c r="B35" s="4" t="s">
        <v>33</v>
      </c>
      <c r="C35" s="4" t="s">
        <v>37</v>
      </c>
      <c r="D35" s="4" t="s">
        <v>32</v>
      </c>
      <c r="E35" s="4" t="s">
        <v>25</v>
      </c>
      <c r="F35" s="4" t="s">
        <v>25</v>
      </c>
      <c r="G35" s="4" t="s">
        <v>25</v>
      </c>
      <c r="H35" s="4" t="s">
        <v>36</v>
      </c>
      <c r="I35" s="5">
        <v>44713</v>
      </c>
      <c r="J35" s="6">
        <v>0</v>
      </c>
      <c r="K35" s="6">
        <v>0</v>
      </c>
      <c r="L35" s="6">
        <v>645.54300000000001</v>
      </c>
      <c r="M35" s="6">
        <v>645.54300000000001</v>
      </c>
      <c r="N35" s="6">
        <v>645.54300000000001</v>
      </c>
      <c r="O35" s="6">
        <v>645.54300000000001</v>
      </c>
      <c r="P35" s="6">
        <v>0</v>
      </c>
      <c r="Q35" s="4" t="s">
        <v>26</v>
      </c>
      <c r="R35" s="4">
        <v>0</v>
      </c>
      <c r="S35" s="4" t="s">
        <v>122</v>
      </c>
      <c r="T35" s="4" t="s">
        <v>253</v>
      </c>
      <c r="U35" s="4">
        <v>0</v>
      </c>
      <c r="V35" s="4">
        <v>14</v>
      </c>
      <c r="W35" s="4">
        <v>44</v>
      </c>
    </row>
    <row r="36" spans="1:23" ht="11.25" customHeight="1" x14ac:dyDescent="0.3">
      <c r="A36" s="4" t="s">
        <v>21</v>
      </c>
      <c r="B36" s="4" t="s">
        <v>33</v>
      </c>
      <c r="C36" s="4" t="s">
        <v>37</v>
      </c>
      <c r="D36" s="4" t="s">
        <v>32</v>
      </c>
      <c r="E36" s="4" t="s">
        <v>25</v>
      </c>
      <c r="F36" s="4" t="s">
        <v>25</v>
      </c>
      <c r="G36" s="4" t="s">
        <v>25</v>
      </c>
      <c r="H36" s="4" t="s">
        <v>36</v>
      </c>
      <c r="I36" s="5">
        <v>44743</v>
      </c>
      <c r="J36" s="6">
        <v>0</v>
      </c>
      <c r="K36" s="6">
        <v>0</v>
      </c>
      <c r="L36" s="6">
        <v>688.66</v>
      </c>
      <c r="M36" s="6">
        <v>688.66</v>
      </c>
      <c r="N36" s="6">
        <v>688.66</v>
      </c>
      <c r="O36" s="6">
        <v>688.66</v>
      </c>
      <c r="P36" s="6">
        <v>0</v>
      </c>
      <c r="Q36" s="4" t="s">
        <v>26</v>
      </c>
      <c r="R36" s="4">
        <v>0</v>
      </c>
      <c r="S36" s="4" t="s">
        <v>123</v>
      </c>
      <c r="T36" s="4" t="s">
        <v>254</v>
      </c>
      <c r="U36" s="4">
        <v>0</v>
      </c>
      <c r="V36" s="4">
        <v>14</v>
      </c>
      <c r="W36" s="4">
        <v>44</v>
      </c>
    </row>
    <row r="37" spans="1:23" ht="11.25" customHeight="1" x14ac:dyDescent="0.3">
      <c r="A37" s="4" t="s">
        <v>21</v>
      </c>
      <c r="B37" s="4" t="s">
        <v>33</v>
      </c>
      <c r="C37" s="4" t="s">
        <v>37</v>
      </c>
      <c r="D37" s="4" t="s">
        <v>32</v>
      </c>
      <c r="E37" s="4" t="s">
        <v>25</v>
      </c>
      <c r="F37" s="4" t="s">
        <v>25</v>
      </c>
      <c r="G37" s="4" t="s">
        <v>25</v>
      </c>
      <c r="H37" s="4" t="s">
        <v>36</v>
      </c>
      <c r="I37" s="5">
        <v>44774</v>
      </c>
      <c r="J37" s="6">
        <v>0</v>
      </c>
      <c r="K37" s="6">
        <v>0</v>
      </c>
      <c r="L37" s="6">
        <v>700.125</v>
      </c>
      <c r="M37" s="6">
        <v>700.125</v>
      </c>
      <c r="N37" s="6">
        <v>700.125</v>
      </c>
      <c r="O37" s="6">
        <v>700.125</v>
      </c>
      <c r="P37" s="6">
        <v>0</v>
      </c>
      <c r="Q37" s="4" t="s">
        <v>26</v>
      </c>
      <c r="R37" s="4">
        <v>0</v>
      </c>
      <c r="S37" s="4" t="s">
        <v>124</v>
      </c>
      <c r="T37" s="4" t="s">
        <v>255</v>
      </c>
      <c r="U37" s="4">
        <v>0</v>
      </c>
      <c r="V37" s="4">
        <v>14</v>
      </c>
      <c r="W37" s="4">
        <v>44</v>
      </c>
    </row>
    <row r="38" spans="1:23" ht="11.25" customHeight="1" x14ac:dyDescent="0.3">
      <c r="A38" s="4" t="s">
        <v>21</v>
      </c>
      <c r="B38" s="4" t="s">
        <v>33</v>
      </c>
      <c r="C38" s="4" t="s">
        <v>37</v>
      </c>
      <c r="D38" s="4" t="s">
        <v>32</v>
      </c>
      <c r="E38" s="4" t="s">
        <v>25</v>
      </c>
      <c r="F38" s="4" t="s">
        <v>25</v>
      </c>
      <c r="G38" s="4" t="s">
        <v>25</v>
      </c>
      <c r="H38" s="4" t="s">
        <v>25</v>
      </c>
      <c r="I38" s="5">
        <v>44440</v>
      </c>
      <c r="J38" s="6">
        <v>3060</v>
      </c>
      <c r="K38" s="6">
        <v>3060</v>
      </c>
      <c r="L38" s="6">
        <v>0</v>
      </c>
      <c r="M38" s="6">
        <v>0</v>
      </c>
      <c r="N38" s="6">
        <v>0</v>
      </c>
      <c r="O38" s="6">
        <v>0</v>
      </c>
      <c r="P38" s="6">
        <v>3</v>
      </c>
      <c r="Q38" s="4" t="s">
        <v>26</v>
      </c>
      <c r="R38" s="4">
        <v>0</v>
      </c>
      <c r="S38" s="4" t="s">
        <v>125</v>
      </c>
      <c r="U38" s="4">
        <v>21</v>
      </c>
      <c r="V38" s="4">
        <v>0</v>
      </c>
      <c r="W38" s="4">
        <v>0</v>
      </c>
    </row>
    <row r="39" spans="1:23" ht="11.25" customHeight="1" x14ac:dyDescent="0.3">
      <c r="A39" s="4" t="s">
        <v>21</v>
      </c>
      <c r="B39" s="4" t="s">
        <v>33</v>
      </c>
      <c r="C39" s="4" t="s">
        <v>37</v>
      </c>
      <c r="D39" s="4" t="s">
        <v>32</v>
      </c>
      <c r="E39" s="4" t="s">
        <v>25</v>
      </c>
      <c r="F39" s="4" t="s">
        <v>25</v>
      </c>
      <c r="G39" s="4" t="s">
        <v>25</v>
      </c>
      <c r="H39" s="4" t="s">
        <v>25</v>
      </c>
      <c r="I39" s="5">
        <v>44470</v>
      </c>
      <c r="J39" s="6">
        <v>3050</v>
      </c>
      <c r="K39" s="6">
        <v>3050</v>
      </c>
      <c r="L39" s="6">
        <v>0</v>
      </c>
      <c r="M39" s="6">
        <v>0</v>
      </c>
      <c r="N39" s="6">
        <v>0</v>
      </c>
      <c r="O39" s="6">
        <v>0</v>
      </c>
      <c r="P39" s="6">
        <v>3</v>
      </c>
      <c r="Q39" s="4" t="s">
        <v>26</v>
      </c>
      <c r="R39" s="4">
        <v>0</v>
      </c>
      <c r="S39" s="4" t="s">
        <v>126</v>
      </c>
      <c r="U39" s="4">
        <v>21</v>
      </c>
      <c r="V39" s="4">
        <v>0</v>
      </c>
      <c r="W39" s="4">
        <v>0</v>
      </c>
    </row>
    <row r="40" spans="1:23" ht="11.25" customHeight="1" x14ac:dyDescent="0.3">
      <c r="A40" s="4" t="s">
        <v>21</v>
      </c>
      <c r="B40" s="4" t="s">
        <v>33</v>
      </c>
      <c r="C40" s="4" t="s">
        <v>37</v>
      </c>
      <c r="D40" s="4" t="s">
        <v>32</v>
      </c>
      <c r="E40" s="4" t="s">
        <v>25</v>
      </c>
      <c r="F40" s="4" t="s">
        <v>25</v>
      </c>
      <c r="G40" s="4" t="s">
        <v>25</v>
      </c>
      <c r="H40" s="4" t="s">
        <v>25</v>
      </c>
      <c r="I40" s="5">
        <v>44501</v>
      </c>
      <c r="J40" s="6">
        <v>3050</v>
      </c>
      <c r="K40" s="6">
        <v>3050</v>
      </c>
      <c r="L40" s="6">
        <v>0</v>
      </c>
      <c r="M40" s="6">
        <v>0</v>
      </c>
      <c r="N40" s="6">
        <v>0</v>
      </c>
      <c r="O40" s="6">
        <v>0</v>
      </c>
      <c r="P40" s="6">
        <v>3</v>
      </c>
      <c r="Q40" s="4" t="s">
        <v>26</v>
      </c>
      <c r="R40" s="4">
        <v>0</v>
      </c>
      <c r="S40" s="4" t="s">
        <v>127</v>
      </c>
      <c r="U40" s="4">
        <v>21</v>
      </c>
      <c r="V40" s="4">
        <v>0</v>
      </c>
      <c r="W40" s="4">
        <v>0</v>
      </c>
    </row>
    <row r="41" spans="1:23" ht="11.25" customHeight="1" x14ac:dyDescent="0.3">
      <c r="A41" s="4" t="s">
        <v>21</v>
      </c>
      <c r="B41" s="4" t="s">
        <v>33</v>
      </c>
      <c r="C41" s="4" t="s">
        <v>37</v>
      </c>
      <c r="D41" s="4" t="s">
        <v>32</v>
      </c>
      <c r="E41" s="4" t="s">
        <v>25</v>
      </c>
      <c r="F41" s="4" t="s">
        <v>25</v>
      </c>
      <c r="G41" s="4" t="s">
        <v>25</v>
      </c>
      <c r="H41" s="4" t="s">
        <v>25</v>
      </c>
      <c r="I41" s="5">
        <v>44531</v>
      </c>
      <c r="J41" s="6">
        <v>3050</v>
      </c>
      <c r="K41" s="6">
        <v>3050</v>
      </c>
      <c r="L41" s="6">
        <v>0</v>
      </c>
      <c r="M41" s="6">
        <v>0</v>
      </c>
      <c r="N41" s="6">
        <v>0</v>
      </c>
      <c r="O41" s="6">
        <v>0</v>
      </c>
      <c r="P41" s="6">
        <v>3</v>
      </c>
      <c r="Q41" s="4" t="s">
        <v>26</v>
      </c>
      <c r="R41" s="4">
        <v>0</v>
      </c>
      <c r="S41" s="4" t="s">
        <v>128</v>
      </c>
      <c r="U41" s="4">
        <v>21</v>
      </c>
      <c r="V41" s="4">
        <v>0</v>
      </c>
      <c r="W41" s="4">
        <v>0</v>
      </c>
    </row>
    <row r="42" spans="1:23" ht="11.25" customHeight="1" x14ac:dyDescent="0.3">
      <c r="A42" s="4" t="s">
        <v>21</v>
      </c>
      <c r="B42" s="4" t="s">
        <v>33</v>
      </c>
      <c r="C42" s="4" t="s">
        <v>37</v>
      </c>
      <c r="D42" s="4" t="s">
        <v>32</v>
      </c>
      <c r="E42" s="4" t="s">
        <v>25</v>
      </c>
      <c r="F42" s="4" t="s">
        <v>25</v>
      </c>
      <c r="G42" s="4" t="s">
        <v>25</v>
      </c>
      <c r="H42" s="4" t="s">
        <v>25</v>
      </c>
      <c r="I42" s="5">
        <v>44562</v>
      </c>
      <c r="J42" s="6">
        <v>3050</v>
      </c>
      <c r="K42" s="6">
        <v>3050</v>
      </c>
      <c r="L42" s="6">
        <v>0</v>
      </c>
      <c r="M42" s="6">
        <v>0</v>
      </c>
      <c r="N42" s="6">
        <v>0</v>
      </c>
      <c r="O42" s="6">
        <v>0</v>
      </c>
      <c r="P42" s="6">
        <v>3</v>
      </c>
      <c r="Q42" s="4" t="s">
        <v>26</v>
      </c>
      <c r="R42" s="4">
        <v>0</v>
      </c>
      <c r="S42" s="4" t="s">
        <v>129</v>
      </c>
      <c r="U42" s="4">
        <v>21</v>
      </c>
      <c r="V42" s="4">
        <v>0</v>
      </c>
      <c r="W42" s="4">
        <v>0</v>
      </c>
    </row>
    <row r="43" spans="1:23" ht="11.25" customHeight="1" x14ac:dyDescent="0.3">
      <c r="A43" s="4" t="s">
        <v>21</v>
      </c>
      <c r="B43" s="4" t="s">
        <v>33</v>
      </c>
      <c r="C43" s="4" t="s">
        <v>37</v>
      </c>
      <c r="D43" s="4" t="s">
        <v>32</v>
      </c>
      <c r="E43" s="4" t="s">
        <v>25</v>
      </c>
      <c r="F43" s="4" t="s">
        <v>25</v>
      </c>
      <c r="G43" s="4" t="s">
        <v>25</v>
      </c>
      <c r="H43" s="4" t="s">
        <v>25</v>
      </c>
      <c r="I43" s="5">
        <v>44593</v>
      </c>
      <c r="J43" s="6">
        <v>3050</v>
      </c>
      <c r="K43" s="6">
        <v>3050</v>
      </c>
      <c r="L43" s="6">
        <v>0</v>
      </c>
      <c r="M43" s="6">
        <v>0</v>
      </c>
      <c r="N43" s="6">
        <v>0</v>
      </c>
      <c r="O43" s="6">
        <v>0</v>
      </c>
      <c r="P43" s="6">
        <v>3</v>
      </c>
      <c r="Q43" s="4" t="s">
        <v>26</v>
      </c>
      <c r="R43" s="4">
        <v>0</v>
      </c>
      <c r="S43" s="4" t="s">
        <v>130</v>
      </c>
      <c r="U43" s="4">
        <v>21</v>
      </c>
      <c r="V43" s="4">
        <v>0</v>
      </c>
      <c r="W43" s="4">
        <v>0</v>
      </c>
    </row>
    <row r="44" spans="1:23" ht="11.25" customHeight="1" x14ac:dyDescent="0.3">
      <c r="A44" s="4" t="s">
        <v>21</v>
      </c>
      <c r="B44" s="4" t="s">
        <v>33</v>
      </c>
      <c r="C44" s="4" t="s">
        <v>37</v>
      </c>
      <c r="D44" s="4" t="s">
        <v>32</v>
      </c>
      <c r="E44" s="4" t="s">
        <v>25</v>
      </c>
      <c r="F44" s="4" t="s">
        <v>25</v>
      </c>
      <c r="G44" s="4" t="s">
        <v>25</v>
      </c>
      <c r="H44" s="4" t="s">
        <v>25</v>
      </c>
      <c r="I44" s="5">
        <v>44621</v>
      </c>
      <c r="J44" s="6">
        <v>3050</v>
      </c>
      <c r="K44" s="6">
        <v>3050</v>
      </c>
      <c r="L44" s="6">
        <v>0</v>
      </c>
      <c r="M44" s="6">
        <v>0</v>
      </c>
      <c r="N44" s="6">
        <v>0</v>
      </c>
      <c r="O44" s="6">
        <v>0</v>
      </c>
      <c r="P44" s="6">
        <v>3</v>
      </c>
      <c r="Q44" s="4" t="s">
        <v>26</v>
      </c>
      <c r="R44" s="4">
        <v>0</v>
      </c>
      <c r="S44" s="4" t="s">
        <v>131</v>
      </c>
      <c r="U44" s="4">
        <v>21</v>
      </c>
      <c r="V44" s="4">
        <v>0</v>
      </c>
      <c r="W44" s="4">
        <v>0</v>
      </c>
    </row>
    <row r="45" spans="1:23" ht="11.25" customHeight="1" x14ac:dyDescent="0.3">
      <c r="A45" s="4" t="s">
        <v>21</v>
      </c>
      <c r="B45" s="4" t="s">
        <v>33</v>
      </c>
      <c r="C45" s="4" t="s">
        <v>37</v>
      </c>
      <c r="D45" s="4" t="s">
        <v>32</v>
      </c>
      <c r="E45" s="4" t="s">
        <v>25</v>
      </c>
      <c r="F45" s="4" t="s">
        <v>25</v>
      </c>
      <c r="G45" s="4" t="s">
        <v>25</v>
      </c>
      <c r="H45" s="4" t="s">
        <v>25</v>
      </c>
      <c r="I45" s="5">
        <v>44652</v>
      </c>
      <c r="J45" s="6">
        <v>3050</v>
      </c>
      <c r="K45" s="6">
        <v>3050</v>
      </c>
      <c r="L45" s="6">
        <v>0</v>
      </c>
      <c r="M45" s="6">
        <v>0</v>
      </c>
      <c r="N45" s="6">
        <v>0</v>
      </c>
      <c r="O45" s="6">
        <v>0</v>
      </c>
      <c r="P45" s="6">
        <v>3</v>
      </c>
      <c r="Q45" s="4" t="s">
        <v>26</v>
      </c>
      <c r="R45" s="4">
        <v>0</v>
      </c>
      <c r="S45" s="4" t="s">
        <v>132</v>
      </c>
      <c r="U45" s="4">
        <v>21</v>
      </c>
      <c r="V45" s="4">
        <v>0</v>
      </c>
      <c r="W45" s="4">
        <v>0</v>
      </c>
    </row>
    <row r="46" spans="1:23" ht="11.25" customHeight="1" x14ac:dyDescent="0.3">
      <c r="A46" s="4" t="s">
        <v>21</v>
      </c>
      <c r="B46" s="4" t="s">
        <v>33</v>
      </c>
      <c r="C46" s="4" t="s">
        <v>37</v>
      </c>
      <c r="D46" s="4" t="s">
        <v>32</v>
      </c>
      <c r="E46" s="4" t="s">
        <v>25</v>
      </c>
      <c r="F46" s="4" t="s">
        <v>25</v>
      </c>
      <c r="G46" s="4" t="s">
        <v>25</v>
      </c>
      <c r="H46" s="4" t="s">
        <v>25</v>
      </c>
      <c r="I46" s="5">
        <v>44682</v>
      </c>
      <c r="J46" s="6">
        <v>3050</v>
      </c>
      <c r="K46" s="6">
        <v>3050</v>
      </c>
      <c r="L46" s="6">
        <v>0</v>
      </c>
      <c r="M46" s="6">
        <v>0</v>
      </c>
      <c r="N46" s="6">
        <v>0</v>
      </c>
      <c r="O46" s="6">
        <v>0</v>
      </c>
      <c r="P46" s="6">
        <v>3</v>
      </c>
      <c r="Q46" s="4" t="s">
        <v>26</v>
      </c>
      <c r="R46" s="4">
        <v>0</v>
      </c>
      <c r="S46" s="4" t="s">
        <v>133</v>
      </c>
      <c r="U46" s="4">
        <v>21</v>
      </c>
      <c r="V46" s="4">
        <v>0</v>
      </c>
      <c r="W46" s="4">
        <v>0</v>
      </c>
    </row>
    <row r="47" spans="1:23" ht="11.25" customHeight="1" x14ac:dyDescent="0.3">
      <c r="A47" s="4" t="s">
        <v>21</v>
      </c>
      <c r="B47" s="4" t="s">
        <v>33</v>
      </c>
      <c r="C47" s="4" t="s">
        <v>37</v>
      </c>
      <c r="D47" s="4" t="s">
        <v>32</v>
      </c>
      <c r="E47" s="4" t="s">
        <v>25</v>
      </c>
      <c r="F47" s="4" t="s">
        <v>25</v>
      </c>
      <c r="G47" s="4" t="s">
        <v>25</v>
      </c>
      <c r="H47" s="4" t="s">
        <v>25</v>
      </c>
      <c r="I47" s="5">
        <v>44713</v>
      </c>
      <c r="J47" s="6">
        <v>3050</v>
      </c>
      <c r="K47" s="6">
        <v>3050</v>
      </c>
      <c r="L47" s="6">
        <v>0</v>
      </c>
      <c r="M47" s="6">
        <v>0</v>
      </c>
      <c r="N47" s="6">
        <v>0</v>
      </c>
      <c r="O47" s="6">
        <v>0</v>
      </c>
      <c r="P47" s="6">
        <v>3</v>
      </c>
      <c r="Q47" s="4" t="s">
        <v>26</v>
      </c>
      <c r="R47" s="4">
        <v>0</v>
      </c>
      <c r="S47" s="4" t="s">
        <v>134</v>
      </c>
      <c r="U47" s="4">
        <v>21</v>
      </c>
      <c r="V47" s="4">
        <v>0</v>
      </c>
      <c r="W47" s="4">
        <v>0</v>
      </c>
    </row>
    <row r="48" spans="1:23" ht="11.25" customHeight="1" x14ac:dyDescent="0.3">
      <c r="A48" s="4" t="s">
        <v>21</v>
      </c>
      <c r="B48" s="4" t="s">
        <v>33</v>
      </c>
      <c r="C48" s="4" t="s">
        <v>37</v>
      </c>
      <c r="D48" s="4" t="s">
        <v>32</v>
      </c>
      <c r="E48" s="4" t="s">
        <v>25</v>
      </c>
      <c r="F48" s="4" t="s">
        <v>25</v>
      </c>
      <c r="G48" s="4" t="s">
        <v>25</v>
      </c>
      <c r="H48" s="4" t="s">
        <v>25</v>
      </c>
      <c r="I48" s="5">
        <v>44743</v>
      </c>
      <c r="J48" s="6">
        <v>3056</v>
      </c>
      <c r="K48" s="6">
        <v>3056</v>
      </c>
      <c r="L48" s="6">
        <v>0</v>
      </c>
      <c r="M48" s="6">
        <v>0</v>
      </c>
      <c r="N48" s="6">
        <v>0</v>
      </c>
      <c r="O48" s="6">
        <v>0</v>
      </c>
      <c r="P48" s="6">
        <v>3</v>
      </c>
      <c r="Q48" s="4" t="s">
        <v>26</v>
      </c>
      <c r="R48" s="4">
        <v>0</v>
      </c>
      <c r="S48" s="4" t="s">
        <v>135</v>
      </c>
      <c r="U48" s="4">
        <v>21</v>
      </c>
      <c r="V48" s="4">
        <v>0</v>
      </c>
      <c r="W48" s="4">
        <v>0</v>
      </c>
    </row>
    <row r="49" spans="1:23" ht="11.25" customHeight="1" x14ac:dyDescent="0.3">
      <c r="A49" s="4" t="s">
        <v>21</v>
      </c>
      <c r="B49" s="4" t="s">
        <v>33</v>
      </c>
      <c r="C49" s="4" t="s">
        <v>37</v>
      </c>
      <c r="D49" s="4" t="s">
        <v>32</v>
      </c>
      <c r="E49" s="4" t="s">
        <v>25</v>
      </c>
      <c r="F49" s="4" t="s">
        <v>25</v>
      </c>
      <c r="G49" s="4" t="s">
        <v>25</v>
      </c>
      <c r="H49" s="4" t="s">
        <v>25</v>
      </c>
      <c r="I49" s="5">
        <v>44774</v>
      </c>
      <c r="J49" s="6">
        <v>3050</v>
      </c>
      <c r="K49" s="6">
        <v>3050</v>
      </c>
      <c r="L49" s="6">
        <v>0</v>
      </c>
      <c r="M49" s="6">
        <v>0</v>
      </c>
      <c r="N49" s="6">
        <v>0</v>
      </c>
      <c r="O49" s="6">
        <v>0</v>
      </c>
      <c r="P49" s="6">
        <v>3</v>
      </c>
      <c r="Q49" s="4" t="s">
        <v>26</v>
      </c>
      <c r="R49" s="4">
        <v>0</v>
      </c>
      <c r="S49" s="4" t="s">
        <v>136</v>
      </c>
      <c r="U49" s="4">
        <v>21</v>
      </c>
      <c r="V49" s="4">
        <v>0</v>
      </c>
      <c r="W49" s="4">
        <v>0</v>
      </c>
    </row>
    <row r="50" spans="1:23" ht="11.25" customHeight="1" x14ac:dyDescent="0.3">
      <c r="A50" s="4" t="s">
        <v>21</v>
      </c>
      <c r="B50" s="4" t="s">
        <v>33</v>
      </c>
      <c r="C50" s="4" t="s">
        <v>37</v>
      </c>
      <c r="D50" s="4" t="s">
        <v>32</v>
      </c>
      <c r="E50" s="4" t="s">
        <v>25</v>
      </c>
      <c r="F50" s="4" t="s">
        <v>25</v>
      </c>
      <c r="G50" s="4" t="s">
        <v>25</v>
      </c>
      <c r="H50" s="4" t="s">
        <v>35</v>
      </c>
      <c r="I50" s="5">
        <v>44440</v>
      </c>
      <c r="J50" s="6">
        <v>0</v>
      </c>
      <c r="K50" s="6">
        <v>0</v>
      </c>
      <c r="L50" s="6">
        <v>43.52</v>
      </c>
      <c r="M50" s="6">
        <v>43.52</v>
      </c>
      <c r="N50" s="6">
        <v>43.52</v>
      </c>
      <c r="O50" s="6">
        <v>43.52</v>
      </c>
      <c r="P50" s="6">
        <v>0</v>
      </c>
      <c r="Q50" s="4" t="s">
        <v>26</v>
      </c>
      <c r="R50" s="4">
        <v>0</v>
      </c>
      <c r="S50" s="4" t="s">
        <v>137</v>
      </c>
      <c r="T50" s="4" t="s">
        <v>256</v>
      </c>
      <c r="U50" s="4">
        <v>0</v>
      </c>
      <c r="V50" s="4">
        <v>25</v>
      </c>
      <c r="W50" s="4">
        <v>41</v>
      </c>
    </row>
    <row r="51" spans="1:23" ht="11.25" customHeight="1" x14ac:dyDescent="0.3">
      <c r="A51" s="4" t="s">
        <v>21</v>
      </c>
      <c r="B51" s="4" t="s">
        <v>33</v>
      </c>
      <c r="C51" s="4" t="s">
        <v>37</v>
      </c>
      <c r="D51" s="4" t="s">
        <v>32</v>
      </c>
      <c r="E51" s="4" t="s">
        <v>25</v>
      </c>
      <c r="F51" s="4" t="s">
        <v>25</v>
      </c>
      <c r="G51" s="4" t="s">
        <v>25</v>
      </c>
      <c r="H51" s="4" t="s">
        <v>35</v>
      </c>
      <c r="I51" s="5">
        <v>44470</v>
      </c>
      <c r="J51" s="6">
        <v>0</v>
      </c>
      <c r="K51" s="6">
        <v>0</v>
      </c>
      <c r="L51" s="6">
        <v>42.656999999999996</v>
      </c>
      <c r="M51" s="6">
        <v>42.656999999999996</v>
      </c>
      <c r="N51" s="6">
        <v>42.656999999999996</v>
      </c>
      <c r="O51" s="6">
        <v>42.656999999999996</v>
      </c>
      <c r="P51" s="6">
        <v>0</v>
      </c>
      <c r="Q51" s="4" t="s">
        <v>26</v>
      </c>
      <c r="R51" s="4">
        <v>0</v>
      </c>
      <c r="S51" s="4" t="s">
        <v>138</v>
      </c>
      <c r="T51" s="4" t="s">
        <v>257</v>
      </c>
      <c r="U51" s="4">
        <v>0</v>
      </c>
      <c r="V51" s="4">
        <v>25</v>
      </c>
      <c r="W51" s="4">
        <v>41</v>
      </c>
    </row>
    <row r="52" spans="1:23" ht="11.25" customHeight="1" x14ac:dyDescent="0.3">
      <c r="A52" s="4" t="s">
        <v>21</v>
      </c>
      <c r="B52" s="4" t="s">
        <v>33</v>
      </c>
      <c r="C52" s="4" t="s">
        <v>37</v>
      </c>
      <c r="D52" s="4" t="s">
        <v>32</v>
      </c>
      <c r="E52" s="4" t="s">
        <v>25</v>
      </c>
      <c r="F52" s="4" t="s">
        <v>25</v>
      </c>
      <c r="G52" s="4" t="s">
        <v>25</v>
      </c>
      <c r="H52" s="4" t="s">
        <v>35</v>
      </c>
      <c r="I52" s="5">
        <v>44501</v>
      </c>
      <c r="J52" s="6">
        <v>0</v>
      </c>
      <c r="K52" s="6">
        <v>0</v>
      </c>
      <c r="L52" s="6">
        <v>44.64</v>
      </c>
      <c r="M52" s="6">
        <v>44.64</v>
      </c>
      <c r="N52" s="6">
        <v>44.64</v>
      </c>
      <c r="O52" s="6">
        <v>44.64</v>
      </c>
      <c r="P52" s="6">
        <v>0</v>
      </c>
      <c r="Q52" s="4" t="s">
        <v>26</v>
      </c>
      <c r="R52" s="4">
        <v>0</v>
      </c>
      <c r="S52" s="4" t="s">
        <v>139</v>
      </c>
      <c r="T52" s="4" t="s">
        <v>258</v>
      </c>
      <c r="U52" s="4">
        <v>0</v>
      </c>
      <c r="V52" s="4">
        <v>25</v>
      </c>
      <c r="W52" s="4">
        <v>41</v>
      </c>
    </row>
    <row r="53" spans="1:23" ht="11.25" customHeight="1" x14ac:dyDescent="0.3">
      <c r="A53" s="4" t="s">
        <v>21</v>
      </c>
      <c r="B53" s="4" t="s">
        <v>33</v>
      </c>
      <c r="C53" s="4" t="s">
        <v>37</v>
      </c>
      <c r="D53" s="4" t="s">
        <v>32</v>
      </c>
      <c r="E53" s="4" t="s">
        <v>25</v>
      </c>
      <c r="F53" s="4" t="s">
        <v>25</v>
      </c>
      <c r="G53" s="4" t="s">
        <v>25</v>
      </c>
      <c r="H53" s="4" t="s">
        <v>35</v>
      </c>
      <c r="I53" s="5">
        <v>44531</v>
      </c>
      <c r="J53" s="6">
        <v>0</v>
      </c>
      <c r="K53" s="6">
        <v>0</v>
      </c>
      <c r="L53" s="6">
        <v>47.222999999999999</v>
      </c>
      <c r="M53" s="6">
        <v>47.222999999999999</v>
      </c>
      <c r="N53" s="6">
        <v>47.222999999999999</v>
      </c>
      <c r="O53" s="6">
        <v>47.222999999999999</v>
      </c>
      <c r="P53" s="6">
        <v>0</v>
      </c>
      <c r="Q53" s="4" t="s">
        <v>26</v>
      </c>
      <c r="R53" s="4">
        <v>0</v>
      </c>
      <c r="S53" s="4" t="s">
        <v>140</v>
      </c>
      <c r="T53" s="4" t="s">
        <v>259</v>
      </c>
      <c r="U53" s="4">
        <v>0</v>
      </c>
      <c r="V53" s="4">
        <v>25</v>
      </c>
      <c r="W53" s="4">
        <v>41</v>
      </c>
    </row>
    <row r="54" spans="1:23" ht="11.25" customHeight="1" x14ac:dyDescent="0.3">
      <c r="A54" s="4" t="s">
        <v>21</v>
      </c>
      <c r="B54" s="4" t="s">
        <v>33</v>
      </c>
      <c r="C54" s="4" t="s">
        <v>37</v>
      </c>
      <c r="D54" s="4" t="s">
        <v>32</v>
      </c>
      <c r="E54" s="4" t="s">
        <v>25</v>
      </c>
      <c r="F54" s="4" t="s">
        <v>25</v>
      </c>
      <c r="G54" s="4" t="s">
        <v>25</v>
      </c>
      <c r="H54" s="4" t="s">
        <v>35</v>
      </c>
      <c r="I54" s="5">
        <v>44562</v>
      </c>
      <c r="J54" s="6">
        <v>0</v>
      </c>
      <c r="K54" s="6">
        <v>0</v>
      </c>
      <c r="L54" s="6">
        <v>44.844000000000001</v>
      </c>
      <c r="M54" s="6">
        <v>44.844000000000001</v>
      </c>
      <c r="N54" s="6">
        <v>44.844000000000001</v>
      </c>
      <c r="O54" s="6">
        <v>44.844000000000001</v>
      </c>
      <c r="P54" s="6">
        <v>0</v>
      </c>
      <c r="Q54" s="4" t="s">
        <v>26</v>
      </c>
      <c r="R54" s="4">
        <v>0</v>
      </c>
      <c r="S54" s="4" t="s">
        <v>141</v>
      </c>
      <c r="T54" s="4" t="s">
        <v>260</v>
      </c>
      <c r="U54" s="4">
        <v>0</v>
      </c>
      <c r="V54" s="4">
        <v>25</v>
      </c>
      <c r="W54" s="4">
        <v>41</v>
      </c>
    </row>
    <row r="55" spans="1:23" ht="11.25" customHeight="1" x14ac:dyDescent="0.3">
      <c r="A55" s="4" t="s">
        <v>21</v>
      </c>
      <c r="B55" s="4" t="s">
        <v>33</v>
      </c>
      <c r="C55" s="4" t="s">
        <v>37</v>
      </c>
      <c r="D55" s="4" t="s">
        <v>32</v>
      </c>
      <c r="E55" s="4" t="s">
        <v>25</v>
      </c>
      <c r="F55" s="4" t="s">
        <v>25</v>
      </c>
      <c r="G55" s="4" t="s">
        <v>25</v>
      </c>
      <c r="H55" s="4" t="s">
        <v>35</v>
      </c>
      <c r="I55" s="5">
        <v>44593</v>
      </c>
      <c r="J55" s="6">
        <v>0</v>
      </c>
      <c r="K55" s="6">
        <v>0</v>
      </c>
      <c r="L55" s="6">
        <v>43.325000000000003</v>
      </c>
      <c r="M55" s="6">
        <v>43.325000000000003</v>
      </c>
      <c r="N55" s="6">
        <v>43.325000000000003</v>
      </c>
      <c r="O55" s="6">
        <v>43.325000000000003</v>
      </c>
      <c r="P55" s="6">
        <v>0</v>
      </c>
      <c r="Q55" s="4" t="s">
        <v>26</v>
      </c>
      <c r="R55" s="4">
        <v>0</v>
      </c>
      <c r="S55" s="4" t="s">
        <v>142</v>
      </c>
      <c r="T55" s="4" t="s">
        <v>261</v>
      </c>
      <c r="U55" s="4">
        <v>0</v>
      </c>
      <c r="V55" s="4">
        <v>25</v>
      </c>
      <c r="W55" s="4">
        <v>41</v>
      </c>
    </row>
    <row r="56" spans="1:23" ht="11.25" customHeight="1" x14ac:dyDescent="0.3">
      <c r="A56" s="4" t="s">
        <v>21</v>
      </c>
      <c r="B56" s="4" t="s">
        <v>33</v>
      </c>
      <c r="C56" s="4" t="s">
        <v>37</v>
      </c>
      <c r="D56" s="4" t="s">
        <v>32</v>
      </c>
      <c r="E56" s="4" t="s">
        <v>25</v>
      </c>
      <c r="F56" s="4" t="s">
        <v>25</v>
      </c>
      <c r="G56" s="4" t="s">
        <v>25</v>
      </c>
      <c r="H56" s="4" t="s">
        <v>35</v>
      </c>
      <c r="I56" s="5">
        <v>44621</v>
      </c>
      <c r="J56" s="6">
        <v>0</v>
      </c>
      <c r="K56" s="6">
        <v>0</v>
      </c>
      <c r="L56" s="6">
        <v>49.451000000000001</v>
      </c>
      <c r="M56" s="6">
        <v>49.451000000000001</v>
      </c>
      <c r="N56" s="6">
        <v>49.451000000000001</v>
      </c>
      <c r="O56" s="6">
        <v>49.451000000000001</v>
      </c>
      <c r="P56" s="6">
        <v>0</v>
      </c>
      <c r="Q56" s="4" t="s">
        <v>26</v>
      </c>
      <c r="R56" s="4">
        <v>0</v>
      </c>
      <c r="S56" s="4" t="s">
        <v>143</v>
      </c>
      <c r="T56" s="4" t="s">
        <v>262</v>
      </c>
      <c r="U56" s="4">
        <v>0</v>
      </c>
      <c r="V56" s="4">
        <v>25</v>
      </c>
      <c r="W56" s="4">
        <v>41</v>
      </c>
    </row>
    <row r="57" spans="1:23" ht="11.25" customHeight="1" x14ac:dyDescent="0.3">
      <c r="A57" s="4" t="s">
        <v>21</v>
      </c>
      <c r="B57" s="4" t="s">
        <v>33</v>
      </c>
      <c r="C57" s="4" t="s">
        <v>37</v>
      </c>
      <c r="D57" s="4" t="s">
        <v>32</v>
      </c>
      <c r="E57" s="4" t="s">
        <v>25</v>
      </c>
      <c r="F57" s="4" t="s">
        <v>25</v>
      </c>
      <c r="G57" s="4" t="s">
        <v>25</v>
      </c>
      <c r="H57" s="4" t="s">
        <v>35</v>
      </c>
      <c r="I57" s="5">
        <v>44652</v>
      </c>
      <c r="J57" s="6">
        <v>0</v>
      </c>
      <c r="K57" s="6">
        <v>0</v>
      </c>
      <c r="L57" s="6">
        <v>44.747999999999998</v>
      </c>
      <c r="M57" s="6">
        <v>44.747999999999998</v>
      </c>
      <c r="N57" s="6">
        <v>44.747999999999998</v>
      </c>
      <c r="O57" s="6">
        <v>44.747999999999998</v>
      </c>
      <c r="P57" s="6">
        <v>0</v>
      </c>
      <c r="Q57" s="4" t="s">
        <v>26</v>
      </c>
      <c r="R57" s="4">
        <v>0</v>
      </c>
      <c r="S57" s="4" t="s">
        <v>144</v>
      </c>
      <c r="T57" s="4" t="s">
        <v>263</v>
      </c>
      <c r="U57" s="4">
        <v>0</v>
      </c>
      <c r="V57" s="4">
        <v>25</v>
      </c>
      <c r="W57" s="4">
        <v>41</v>
      </c>
    </row>
    <row r="58" spans="1:23" ht="11.25" customHeight="1" x14ac:dyDescent="0.3">
      <c r="A58" s="4" t="s">
        <v>21</v>
      </c>
      <c r="B58" s="4" t="s">
        <v>33</v>
      </c>
      <c r="C58" s="4" t="s">
        <v>37</v>
      </c>
      <c r="D58" s="4" t="s">
        <v>32</v>
      </c>
      <c r="E58" s="4" t="s">
        <v>25</v>
      </c>
      <c r="F58" s="4" t="s">
        <v>25</v>
      </c>
      <c r="G58" s="4" t="s">
        <v>25</v>
      </c>
      <c r="H58" s="4" t="s">
        <v>35</v>
      </c>
      <c r="I58" s="5">
        <v>44682</v>
      </c>
      <c r="J58" s="6">
        <v>0</v>
      </c>
      <c r="K58" s="6">
        <v>0</v>
      </c>
      <c r="L58" s="6">
        <v>49.109000000000002</v>
      </c>
      <c r="M58" s="6">
        <v>49.109000000000002</v>
      </c>
      <c r="N58" s="6">
        <v>49.109000000000002</v>
      </c>
      <c r="O58" s="6">
        <v>49.109000000000002</v>
      </c>
      <c r="P58" s="6">
        <v>0</v>
      </c>
      <c r="Q58" s="4" t="s">
        <v>26</v>
      </c>
      <c r="R58" s="4">
        <v>0</v>
      </c>
      <c r="S58" s="4" t="s">
        <v>145</v>
      </c>
      <c r="T58" s="4" t="s">
        <v>264</v>
      </c>
      <c r="U58" s="4">
        <v>0</v>
      </c>
      <c r="V58" s="4">
        <v>25</v>
      </c>
      <c r="W58" s="4">
        <v>41</v>
      </c>
    </row>
    <row r="59" spans="1:23" ht="11.25" customHeight="1" x14ac:dyDescent="0.3">
      <c r="A59" s="4" t="s">
        <v>21</v>
      </c>
      <c r="B59" s="4" t="s">
        <v>33</v>
      </c>
      <c r="C59" s="4" t="s">
        <v>37</v>
      </c>
      <c r="D59" s="4" t="s">
        <v>32</v>
      </c>
      <c r="E59" s="4" t="s">
        <v>25</v>
      </c>
      <c r="F59" s="4" t="s">
        <v>25</v>
      </c>
      <c r="G59" s="4" t="s">
        <v>25</v>
      </c>
      <c r="H59" s="4" t="s">
        <v>35</v>
      </c>
      <c r="I59" s="5">
        <v>44713</v>
      </c>
      <c r="J59" s="6">
        <v>0</v>
      </c>
      <c r="K59" s="6">
        <v>0</v>
      </c>
      <c r="L59" s="6">
        <v>47.128</v>
      </c>
      <c r="M59" s="6">
        <v>47.128</v>
      </c>
      <c r="N59" s="6">
        <v>47.128</v>
      </c>
      <c r="O59" s="6">
        <v>47.128</v>
      </c>
      <c r="P59" s="6">
        <v>0</v>
      </c>
      <c r="Q59" s="4" t="s">
        <v>26</v>
      </c>
      <c r="R59" s="4">
        <v>0</v>
      </c>
      <c r="S59" s="4" t="s">
        <v>146</v>
      </c>
      <c r="T59" s="4" t="s">
        <v>265</v>
      </c>
      <c r="U59" s="4">
        <v>0</v>
      </c>
      <c r="V59" s="4">
        <v>25</v>
      </c>
      <c r="W59" s="4">
        <v>41</v>
      </c>
    </row>
    <row r="60" spans="1:23" ht="11.25" customHeight="1" x14ac:dyDescent="0.3">
      <c r="A60" s="4" t="s">
        <v>21</v>
      </c>
      <c r="B60" s="4" t="s">
        <v>33</v>
      </c>
      <c r="C60" s="4" t="s">
        <v>37</v>
      </c>
      <c r="D60" s="4" t="s">
        <v>32</v>
      </c>
      <c r="E60" s="4" t="s">
        <v>25</v>
      </c>
      <c r="F60" s="4" t="s">
        <v>25</v>
      </c>
      <c r="G60" s="4" t="s">
        <v>25</v>
      </c>
      <c r="H60" s="4" t="s">
        <v>35</v>
      </c>
      <c r="I60" s="5">
        <v>44743</v>
      </c>
      <c r="J60" s="6">
        <v>0</v>
      </c>
      <c r="K60" s="6">
        <v>0</v>
      </c>
      <c r="L60" s="6">
        <v>48.082000000000001</v>
      </c>
      <c r="M60" s="6">
        <v>48.082000000000001</v>
      </c>
      <c r="N60" s="6">
        <v>48.082000000000001</v>
      </c>
      <c r="O60" s="6">
        <v>48.082000000000001</v>
      </c>
      <c r="P60" s="6">
        <v>0</v>
      </c>
      <c r="Q60" s="4" t="s">
        <v>26</v>
      </c>
      <c r="R60" s="4">
        <v>0</v>
      </c>
      <c r="S60" s="4" t="s">
        <v>147</v>
      </c>
      <c r="T60" s="4" t="s">
        <v>266</v>
      </c>
      <c r="U60" s="4">
        <v>0</v>
      </c>
      <c r="V60" s="4">
        <v>25</v>
      </c>
      <c r="W60" s="4">
        <v>41</v>
      </c>
    </row>
    <row r="61" spans="1:23" ht="11.25" customHeight="1" x14ac:dyDescent="0.3">
      <c r="A61" s="4" t="s">
        <v>21</v>
      </c>
      <c r="B61" s="4" t="s">
        <v>33</v>
      </c>
      <c r="C61" s="4" t="s">
        <v>37</v>
      </c>
      <c r="D61" s="4" t="s">
        <v>32</v>
      </c>
      <c r="E61" s="4" t="s">
        <v>25</v>
      </c>
      <c r="F61" s="4" t="s">
        <v>25</v>
      </c>
      <c r="G61" s="4" t="s">
        <v>25</v>
      </c>
      <c r="H61" s="4" t="s">
        <v>35</v>
      </c>
      <c r="I61" s="5">
        <v>44774</v>
      </c>
      <c r="J61" s="6">
        <v>0</v>
      </c>
      <c r="K61" s="6">
        <v>0</v>
      </c>
      <c r="L61" s="6">
        <v>56.726999999999997</v>
      </c>
      <c r="M61" s="6">
        <v>56.726999999999997</v>
      </c>
      <c r="N61" s="6">
        <v>56.726999999999997</v>
      </c>
      <c r="O61" s="6">
        <v>56.726999999999997</v>
      </c>
      <c r="P61" s="6">
        <v>0</v>
      </c>
      <c r="Q61" s="4" t="s">
        <v>26</v>
      </c>
      <c r="R61" s="4">
        <v>0</v>
      </c>
      <c r="S61" s="4" t="s">
        <v>148</v>
      </c>
      <c r="T61" s="4" t="s">
        <v>267</v>
      </c>
      <c r="U61" s="4">
        <v>0</v>
      </c>
      <c r="V61" s="4">
        <v>25</v>
      </c>
      <c r="W61" s="4">
        <v>41</v>
      </c>
    </row>
    <row r="62" spans="1:23" ht="11.25" customHeight="1" x14ac:dyDescent="0.3">
      <c r="A62" s="4" t="s">
        <v>21</v>
      </c>
      <c r="B62" s="4" t="s">
        <v>22</v>
      </c>
      <c r="C62" s="4" t="s">
        <v>23</v>
      </c>
      <c r="D62" s="4" t="s">
        <v>24</v>
      </c>
      <c r="E62" s="4" t="s">
        <v>24</v>
      </c>
      <c r="F62" s="4" t="s">
        <v>25</v>
      </c>
      <c r="G62" s="4" t="s">
        <v>25</v>
      </c>
      <c r="H62" s="4" t="s">
        <v>25</v>
      </c>
      <c r="I62" s="5">
        <v>44440</v>
      </c>
      <c r="J62" s="6">
        <v>0</v>
      </c>
      <c r="K62" s="6">
        <v>0</v>
      </c>
      <c r="L62" s="6">
        <v>38.773000000000003</v>
      </c>
      <c r="M62" s="6">
        <v>38.773000000000003</v>
      </c>
      <c r="N62" s="6">
        <v>38.773000000000003</v>
      </c>
      <c r="O62" s="6">
        <v>38.773000000000003</v>
      </c>
      <c r="P62" s="6">
        <v>263</v>
      </c>
      <c r="Q62" s="4" t="s">
        <v>26</v>
      </c>
      <c r="R62" s="4">
        <v>0</v>
      </c>
      <c r="S62" s="4" t="s">
        <v>149</v>
      </c>
      <c r="T62" s="4" t="s">
        <v>272</v>
      </c>
      <c r="U62" s="4">
        <v>0</v>
      </c>
      <c r="V62" s="4">
        <v>20</v>
      </c>
      <c r="W62" s="4">
        <v>37</v>
      </c>
    </row>
    <row r="63" spans="1:23" ht="11.25" customHeight="1" x14ac:dyDescent="0.3">
      <c r="A63" s="4" t="s">
        <v>21</v>
      </c>
      <c r="B63" s="4" t="s">
        <v>22</v>
      </c>
      <c r="C63" s="4" t="s">
        <v>23</v>
      </c>
      <c r="D63" s="4" t="s">
        <v>24</v>
      </c>
      <c r="E63" s="4" t="s">
        <v>24</v>
      </c>
      <c r="F63" s="4" t="s">
        <v>25</v>
      </c>
      <c r="G63" s="4" t="s">
        <v>25</v>
      </c>
      <c r="H63" s="4" t="s">
        <v>25</v>
      </c>
      <c r="I63" s="5">
        <v>44470</v>
      </c>
      <c r="J63" s="6">
        <v>0</v>
      </c>
      <c r="K63" s="6">
        <v>0</v>
      </c>
      <c r="L63" s="6">
        <v>37.901000000000003</v>
      </c>
      <c r="M63" s="6">
        <v>37.901000000000003</v>
      </c>
      <c r="N63" s="6">
        <v>37.901000000000003</v>
      </c>
      <c r="O63" s="6">
        <v>37.901000000000003</v>
      </c>
      <c r="P63" s="6">
        <v>263</v>
      </c>
      <c r="Q63" s="4" t="s">
        <v>26</v>
      </c>
      <c r="R63" s="4">
        <v>0</v>
      </c>
      <c r="S63" s="4" t="s">
        <v>150</v>
      </c>
      <c r="T63" s="4" t="s">
        <v>273</v>
      </c>
      <c r="U63" s="4">
        <v>0</v>
      </c>
      <c r="V63" s="4">
        <v>20</v>
      </c>
      <c r="W63" s="4">
        <v>37</v>
      </c>
    </row>
    <row r="64" spans="1:23" ht="11.25" customHeight="1" x14ac:dyDescent="0.3">
      <c r="A64" s="4" t="s">
        <v>21</v>
      </c>
      <c r="B64" s="4" t="s">
        <v>22</v>
      </c>
      <c r="C64" s="4" t="s">
        <v>23</v>
      </c>
      <c r="D64" s="4" t="s">
        <v>24</v>
      </c>
      <c r="E64" s="4" t="s">
        <v>24</v>
      </c>
      <c r="F64" s="4" t="s">
        <v>25</v>
      </c>
      <c r="G64" s="4" t="s">
        <v>25</v>
      </c>
      <c r="H64" s="4" t="s">
        <v>25</v>
      </c>
      <c r="I64" s="5">
        <v>44501</v>
      </c>
      <c r="J64" s="6">
        <v>0</v>
      </c>
      <c r="K64" s="6">
        <v>0</v>
      </c>
      <c r="L64" s="6">
        <v>35.085000000000001</v>
      </c>
      <c r="M64" s="6">
        <v>35.085000000000001</v>
      </c>
      <c r="N64" s="6">
        <v>35.085000000000001</v>
      </c>
      <c r="O64" s="6">
        <v>35.085000000000001</v>
      </c>
      <c r="P64" s="6">
        <v>258</v>
      </c>
      <c r="Q64" s="4" t="s">
        <v>26</v>
      </c>
      <c r="R64" s="4">
        <v>0</v>
      </c>
      <c r="S64" s="4" t="s">
        <v>151</v>
      </c>
      <c r="T64" s="4" t="s">
        <v>274</v>
      </c>
      <c r="U64" s="4">
        <v>0</v>
      </c>
      <c r="V64" s="4">
        <v>20</v>
      </c>
      <c r="W64" s="4">
        <v>37</v>
      </c>
    </row>
    <row r="65" spans="1:23" ht="11.25" customHeight="1" x14ac:dyDescent="0.3">
      <c r="A65" s="4" t="s">
        <v>21</v>
      </c>
      <c r="B65" s="4" t="s">
        <v>22</v>
      </c>
      <c r="C65" s="4" t="s">
        <v>23</v>
      </c>
      <c r="D65" s="4" t="s">
        <v>24</v>
      </c>
      <c r="E65" s="4" t="s">
        <v>24</v>
      </c>
      <c r="F65" s="4" t="s">
        <v>25</v>
      </c>
      <c r="G65" s="4" t="s">
        <v>25</v>
      </c>
      <c r="H65" s="4" t="s">
        <v>25</v>
      </c>
      <c r="I65" s="5">
        <v>44531</v>
      </c>
      <c r="J65" s="6">
        <v>0</v>
      </c>
      <c r="K65" s="6">
        <v>0</v>
      </c>
      <c r="L65" s="6">
        <v>33</v>
      </c>
      <c r="M65" s="6">
        <v>33</v>
      </c>
      <c r="N65" s="6">
        <v>33</v>
      </c>
      <c r="O65" s="6">
        <v>33</v>
      </c>
      <c r="P65" s="6">
        <v>262</v>
      </c>
      <c r="Q65" s="4" t="s">
        <v>26</v>
      </c>
      <c r="R65" s="4">
        <v>0</v>
      </c>
      <c r="S65" s="4" t="s">
        <v>152</v>
      </c>
      <c r="T65" s="4" t="s">
        <v>275</v>
      </c>
      <c r="U65" s="4">
        <v>0</v>
      </c>
      <c r="V65" s="4">
        <v>20</v>
      </c>
      <c r="W65" s="4">
        <v>37</v>
      </c>
    </row>
    <row r="66" spans="1:23" ht="11.25" customHeight="1" x14ac:dyDescent="0.3">
      <c r="A66" s="4" t="s">
        <v>21</v>
      </c>
      <c r="B66" s="4" t="s">
        <v>22</v>
      </c>
      <c r="C66" s="4" t="s">
        <v>23</v>
      </c>
      <c r="D66" s="4" t="s">
        <v>24</v>
      </c>
      <c r="E66" s="4" t="s">
        <v>24</v>
      </c>
      <c r="F66" s="4" t="s">
        <v>25</v>
      </c>
      <c r="G66" s="4" t="s">
        <v>25</v>
      </c>
      <c r="H66" s="4" t="s">
        <v>25</v>
      </c>
      <c r="I66" s="5">
        <v>44562</v>
      </c>
      <c r="J66" s="6">
        <v>0</v>
      </c>
      <c r="K66" s="6">
        <v>0</v>
      </c>
      <c r="L66" s="6">
        <v>41.52</v>
      </c>
      <c r="M66" s="6">
        <v>41.52</v>
      </c>
      <c r="N66" s="6">
        <v>41.52</v>
      </c>
      <c r="O66" s="6">
        <v>41.52</v>
      </c>
      <c r="P66" s="6">
        <v>262</v>
      </c>
      <c r="Q66" s="4" t="s">
        <v>26</v>
      </c>
      <c r="R66" s="4">
        <v>0</v>
      </c>
      <c r="S66" s="4" t="s">
        <v>153</v>
      </c>
      <c r="T66" s="4" t="s">
        <v>276</v>
      </c>
      <c r="U66" s="4">
        <v>0</v>
      </c>
      <c r="V66" s="4">
        <v>20</v>
      </c>
      <c r="W66" s="4">
        <v>37</v>
      </c>
    </row>
    <row r="67" spans="1:23" ht="11.25" customHeight="1" x14ac:dyDescent="0.3">
      <c r="A67" s="4" t="s">
        <v>21</v>
      </c>
      <c r="B67" s="4" t="s">
        <v>22</v>
      </c>
      <c r="C67" s="4" t="s">
        <v>23</v>
      </c>
      <c r="D67" s="4" t="s">
        <v>24</v>
      </c>
      <c r="E67" s="4" t="s">
        <v>24</v>
      </c>
      <c r="F67" s="4" t="s">
        <v>25</v>
      </c>
      <c r="G67" s="4" t="s">
        <v>25</v>
      </c>
      <c r="H67" s="4" t="s">
        <v>25</v>
      </c>
      <c r="I67" s="5">
        <v>44593</v>
      </c>
      <c r="J67" s="6">
        <v>0</v>
      </c>
      <c r="K67" s="6">
        <v>0</v>
      </c>
      <c r="L67" s="6">
        <v>35.936999999999998</v>
      </c>
      <c r="M67" s="6">
        <v>35.936999999999998</v>
      </c>
      <c r="N67" s="6">
        <v>35.936999999999998</v>
      </c>
      <c r="O67" s="6">
        <v>35.936999999999998</v>
      </c>
      <c r="P67" s="6">
        <v>262</v>
      </c>
      <c r="Q67" s="4" t="s">
        <v>26</v>
      </c>
      <c r="R67" s="4">
        <v>0</v>
      </c>
      <c r="S67" s="4" t="s">
        <v>154</v>
      </c>
      <c r="T67" s="4" t="s">
        <v>277</v>
      </c>
      <c r="U67" s="4">
        <v>0</v>
      </c>
      <c r="V67" s="4">
        <v>20</v>
      </c>
      <c r="W67" s="4">
        <v>37</v>
      </c>
    </row>
    <row r="68" spans="1:23" ht="11.25" customHeight="1" x14ac:dyDescent="0.3">
      <c r="A68" s="4" t="s">
        <v>21</v>
      </c>
      <c r="B68" s="4" t="s">
        <v>22</v>
      </c>
      <c r="C68" s="4" t="s">
        <v>23</v>
      </c>
      <c r="D68" s="4" t="s">
        <v>24</v>
      </c>
      <c r="E68" s="4" t="s">
        <v>24</v>
      </c>
      <c r="F68" s="4" t="s">
        <v>25</v>
      </c>
      <c r="G68" s="4" t="s">
        <v>25</v>
      </c>
      <c r="H68" s="4" t="s">
        <v>25</v>
      </c>
      <c r="I68" s="5">
        <v>44621</v>
      </c>
      <c r="J68" s="6">
        <v>0</v>
      </c>
      <c r="K68" s="6">
        <v>0</v>
      </c>
      <c r="L68" s="6">
        <v>34.155999999999999</v>
      </c>
      <c r="M68" s="6">
        <v>34.155999999999999</v>
      </c>
      <c r="N68" s="6">
        <v>34.155999999999999</v>
      </c>
      <c r="O68" s="6">
        <v>34.155999999999999</v>
      </c>
      <c r="P68" s="6">
        <v>256</v>
      </c>
      <c r="Q68" s="4" t="s">
        <v>26</v>
      </c>
      <c r="R68" s="4">
        <v>0</v>
      </c>
      <c r="S68" s="4" t="s">
        <v>155</v>
      </c>
      <c r="T68" s="4" t="s">
        <v>278</v>
      </c>
      <c r="U68" s="4">
        <v>0</v>
      </c>
      <c r="V68" s="4">
        <v>20</v>
      </c>
      <c r="W68" s="4">
        <v>37</v>
      </c>
    </row>
    <row r="69" spans="1:23" ht="11.25" customHeight="1" x14ac:dyDescent="0.3">
      <c r="A69" s="4" t="s">
        <v>41</v>
      </c>
      <c r="B69" s="4" t="s">
        <v>22</v>
      </c>
      <c r="C69" s="4" t="s">
        <v>23</v>
      </c>
      <c r="D69" s="4" t="s">
        <v>24</v>
      </c>
      <c r="E69" s="4" t="s">
        <v>24</v>
      </c>
      <c r="F69" s="4" t="s">
        <v>25</v>
      </c>
      <c r="G69" s="4" t="s">
        <v>25</v>
      </c>
      <c r="H69" s="4" t="s">
        <v>25</v>
      </c>
      <c r="I69" s="5">
        <v>44621</v>
      </c>
      <c r="J69" s="6">
        <v>0</v>
      </c>
      <c r="K69" s="6">
        <v>0</v>
      </c>
      <c r="L69" s="6">
        <v>0.22900000000000001</v>
      </c>
      <c r="M69" s="6">
        <v>0.22900000000000001</v>
      </c>
      <c r="N69" s="6">
        <v>0.22900000000000001</v>
      </c>
      <c r="O69" s="6">
        <v>0.22900000000000001</v>
      </c>
      <c r="P69" s="6">
        <v>1</v>
      </c>
      <c r="Q69" s="4" t="s">
        <v>26</v>
      </c>
      <c r="R69" s="4">
        <v>0</v>
      </c>
      <c r="S69" s="4" t="s">
        <v>155</v>
      </c>
      <c r="T69" s="4" t="s">
        <v>278</v>
      </c>
      <c r="U69" s="4">
        <v>0</v>
      </c>
      <c r="V69" s="4">
        <v>20</v>
      </c>
      <c r="W69" s="4">
        <v>37</v>
      </c>
    </row>
    <row r="70" spans="1:23" ht="11.25" customHeight="1" x14ac:dyDescent="0.3">
      <c r="A70" s="4" t="s">
        <v>21</v>
      </c>
      <c r="B70" s="4" t="s">
        <v>22</v>
      </c>
      <c r="C70" s="4" t="s">
        <v>23</v>
      </c>
      <c r="D70" s="4" t="s">
        <v>24</v>
      </c>
      <c r="E70" s="4" t="s">
        <v>24</v>
      </c>
      <c r="F70" s="4" t="s">
        <v>25</v>
      </c>
      <c r="G70" s="4" t="s">
        <v>25</v>
      </c>
      <c r="H70" s="4" t="s">
        <v>25</v>
      </c>
      <c r="I70" s="5">
        <v>44652</v>
      </c>
      <c r="J70" s="6">
        <v>0</v>
      </c>
      <c r="K70" s="6">
        <v>0</v>
      </c>
      <c r="L70" s="6">
        <v>31.923999999999999</v>
      </c>
      <c r="M70" s="6">
        <v>31.923999999999999</v>
      </c>
      <c r="N70" s="6">
        <v>31.923999999999999</v>
      </c>
      <c r="O70" s="6">
        <v>31.923999999999999</v>
      </c>
      <c r="P70" s="6">
        <v>256</v>
      </c>
      <c r="Q70" s="4" t="s">
        <v>26</v>
      </c>
      <c r="R70" s="4">
        <v>0</v>
      </c>
      <c r="S70" s="4" t="s">
        <v>156</v>
      </c>
      <c r="T70" s="4" t="s">
        <v>279</v>
      </c>
      <c r="U70" s="4">
        <v>0</v>
      </c>
      <c r="V70" s="4">
        <v>20</v>
      </c>
      <c r="W70" s="4">
        <v>37</v>
      </c>
    </row>
    <row r="71" spans="1:23" ht="11.25" customHeight="1" x14ac:dyDescent="0.3">
      <c r="A71" s="4" t="s">
        <v>41</v>
      </c>
      <c r="B71" s="4" t="s">
        <v>22</v>
      </c>
      <c r="C71" s="4" t="s">
        <v>23</v>
      </c>
      <c r="D71" s="4" t="s">
        <v>24</v>
      </c>
      <c r="E71" s="4" t="s">
        <v>24</v>
      </c>
      <c r="F71" s="4" t="s">
        <v>25</v>
      </c>
      <c r="G71" s="4" t="s">
        <v>25</v>
      </c>
      <c r="H71" s="4" t="s">
        <v>25</v>
      </c>
      <c r="I71" s="5">
        <v>44652</v>
      </c>
      <c r="J71" s="6">
        <v>0</v>
      </c>
      <c r="K71" s="6">
        <v>0</v>
      </c>
      <c r="L71" s="6">
        <v>0.1</v>
      </c>
      <c r="M71" s="6">
        <v>0.1</v>
      </c>
      <c r="N71" s="6">
        <v>0.1</v>
      </c>
      <c r="O71" s="6">
        <v>0.1</v>
      </c>
      <c r="P71" s="6">
        <v>1</v>
      </c>
      <c r="Q71" s="4" t="s">
        <v>26</v>
      </c>
      <c r="R71" s="4">
        <v>0</v>
      </c>
      <c r="S71" s="4" t="s">
        <v>156</v>
      </c>
      <c r="T71" s="4" t="s">
        <v>279</v>
      </c>
      <c r="U71" s="4">
        <v>0</v>
      </c>
      <c r="V71" s="4">
        <v>20</v>
      </c>
      <c r="W71" s="4">
        <v>37</v>
      </c>
    </row>
    <row r="72" spans="1:23" ht="11.25" customHeight="1" x14ac:dyDescent="0.3">
      <c r="A72" s="4" t="s">
        <v>21</v>
      </c>
      <c r="B72" s="4" t="s">
        <v>22</v>
      </c>
      <c r="C72" s="4" t="s">
        <v>23</v>
      </c>
      <c r="D72" s="4" t="s">
        <v>24</v>
      </c>
      <c r="E72" s="4" t="s">
        <v>24</v>
      </c>
      <c r="F72" s="4" t="s">
        <v>25</v>
      </c>
      <c r="G72" s="4" t="s">
        <v>25</v>
      </c>
      <c r="H72" s="4" t="s">
        <v>25</v>
      </c>
      <c r="I72" s="5">
        <v>44682</v>
      </c>
      <c r="J72" s="6">
        <v>0</v>
      </c>
      <c r="K72" s="6">
        <v>0</v>
      </c>
      <c r="L72" s="6">
        <v>34.506999999999998</v>
      </c>
      <c r="M72" s="6">
        <v>34.506999999999998</v>
      </c>
      <c r="N72" s="6">
        <v>34.506999999999998</v>
      </c>
      <c r="O72" s="6">
        <v>34.506999999999998</v>
      </c>
      <c r="P72" s="6">
        <v>261</v>
      </c>
      <c r="Q72" s="4" t="s">
        <v>26</v>
      </c>
      <c r="R72" s="4">
        <v>0</v>
      </c>
      <c r="S72" s="4" t="s">
        <v>157</v>
      </c>
      <c r="T72" s="4" t="s">
        <v>280</v>
      </c>
      <c r="U72" s="4">
        <v>0</v>
      </c>
      <c r="V72" s="4">
        <v>20</v>
      </c>
      <c r="W72" s="4">
        <v>37</v>
      </c>
    </row>
    <row r="73" spans="1:23" ht="11.25" customHeight="1" x14ac:dyDescent="0.3">
      <c r="A73" s="4" t="s">
        <v>41</v>
      </c>
      <c r="B73" s="4" t="s">
        <v>22</v>
      </c>
      <c r="C73" s="4" t="s">
        <v>23</v>
      </c>
      <c r="D73" s="4" t="s">
        <v>24</v>
      </c>
      <c r="E73" s="4" t="s">
        <v>24</v>
      </c>
      <c r="F73" s="4" t="s">
        <v>25</v>
      </c>
      <c r="G73" s="4" t="s">
        <v>25</v>
      </c>
      <c r="H73" s="4" t="s">
        <v>25</v>
      </c>
      <c r="I73" s="5">
        <v>44682</v>
      </c>
      <c r="J73" s="6">
        <v>0</v>
      </c>
      <c r="K73" s="6">
        <v>0</v>
      </c>
      <c r="L73" s="6">
        <v>0.1</v>
      </c>
      <c r="M73" s="6">
        <v>0.1</v>
      </c>
      <c r="N73" s="6">
        <v>0.1</v>
      </c>
      <c r="O73" s="6">
        <v>0.1</v>
      </c>
      <c r="P73" s="6">
        <v>1</v>
      </c>
      <c r="Q73" s="4" t="s">
        <v>26</v>
      </c>
      <c r="R73" s="4">
        <v>0</v>
      </c>
      <c r="S73" s="4" t="s">
        <v>157</v>
      </c>
      <c r="T73" s="4" t="s">
        <v>280</v>
      </c>
      <c r="U73" s="4">
        <v>0</v>
      </c>
      <c r="V73" s="4">
        <v>20</v>
      </c>
      <c r="W73" s="4">
        <v>37</v>
      </c>
    </row>
    <row r="74" spans="1:23" ht="11.25" customHeight="1" x14ac:dyDescent="0.3">
      <c r="A74" s="4" t="s">
        <v>21</v>
      </c>
      <c r="B74" s="4" t="s">
        <v>22</v>
      </c>
      <c r="C74" s="4" t="s">
        <v>23</v>
      </c>
      <c r="D74" s="4" t="s">
        <v>24</v>
      </c>
      <c r="E74" s="4" t="s">
        <v>24</v>
      </c>
      <c r="F74" s="4" t="s">
        <v>25</v>
      </c>
      <c r="G74" s="4" t="s">
        <v>25</v>
      </c>
      <c r="H74" s="4" t="s">
        <v>25</v>
      </c>
      <c r="I74" s="5">
        <v>44713</v>
      </c>
      <c r="J74" s="6">
        <v>0</v>
      </c>
      <c r="K74" s="6">
        <v>0</v>
      </c>
      <c r="L74" s="6">
        <v>36.295000000000002</v>
      </c>
      <c r="M74" s="6">
        <v>36.295000000000002</v>
      </c>
      <c r="N74" s="6">
        <v>36.295000000000002</v>
      </c>
      <c r="O74" s="6">
        <v>36.295000000000002</v>
      </c>
      <c r="P74" s="6">
        <v>262</v>
      </c>
      <c r="Q74" s="4" t="s">
        <v>26</v>
      </c>
      <c r="R74" s="4">
        <v>0</v>
      </c>
      <c r="S74" s="4" t="s">
        <v>158</v>
      </c>
      <c r="T74" s="4" t="s">
        <v>281</v>
      </c>
      <c r="U74" s="4">
        <v>0</v>
      </c>
      <c r="V74" s="4">
        <v>20</v>
      </c>
      <c r="W74" s="4">
        <v>37</v>
      </c>
    </row>
    <row r="75" spans="1:23" ht="11.25" customHeight="1" x14ac:dyDescent="0.3">
      <c r="A75" s="4" t="s">
        <v>41</v>
      </c>
      <c r="B75" s="4" t="s">
        <v>22</v>
      </c>
      <c r="C75" s="4" t="s">
        <v>23</v>
      </c>
      <c r="D75" s="4" t="s">
        <v>24</v>
      </c>
      <c r="E75" s="4" t="s">
        <v>24</v>
      </c>
      <c r="F75" s="4" t="s">
        <v>25</v>
      </c>
      <c r="G75" s="4" t="s">
        <v>25</v>
      </c>
      <c r="H75" s="4" t="s">
        <v>25</v>
      </c>
      <c r="I75" s="5">
        <v>44713</v>
      </c>
      <c r="J75" s="6">
        <v>0</v>
      </c>
      <c r="K75" s="6">
        <v>0</v>
      </c>
      <c r="L75" s="6">
        <v>0.1</v>
      </c>
      <c r="M75" s="6">
        <v>0.1</v>
      </c>
      <c r="N75" s="6">
        <v>0.1</v>
      </c>
      <c r="O75" s="6">
        <v>0.1</v>
      </c>
      <c r="P75" s="6">
        <v>1</v>
      </c>
      <c r="Q75" s="4" t="s">
        <v>26</v>
      </c>
      <c r="R75" s="4">
        <v>0</v>
      </c>
      <c r="S75" s="4" t="s">
        <v>158</v>
      </c>
      <c r="T75" s="4" t="s">
        <v>281</v>
      </c>
      <c r="U75" s="4">
        <v>0</v>
      </c>
      <c r="V75" s="4">
        <v>20</v>
      </c>
      <c r="W75" s="4">
        <v>37</v>
      </c>
    </row>
    <row r="76" spans="1:23" ht="11.25" customHeight="1" x14ac:dyDescent="0.3">
      <c r="A76" s="4" t="s">
        <v>21</v>
      </c>
      <c r="B76" s="4" t="s">
        <v>22</v>
      </c>
      <c r="C76" s="4" t="s">
        <v>23</v>
      </c>
      <c r="D76" s="4" t="s">
        <v>24</v>
      </c>
      <c r="E76" s="4" t="s">
        <v>24</v>
      </c>
      <c r="F76" s="4" t="s">
        <v>25</v>
      </c>
      <c r="G76" s="4" t="s">
        <v>25</v>
      </c>
      <c r="H76" s="4" t="s">
        <v>25</v>
      </c>
      <c r="I76" s="5">
        <v>44743</v>
      </c>
      <c r="J76" s="6">
        <v>0</v>
      </c>
      <c r="K76" s="6">
        <v>0</v>
      </c>
      <c r="L76" s="6">
        <v>34.405000000000001</v>
      </c>
      <c r="M76" s="6">
        <v>34.405000000000001</v>
      </c>
      <c r="N76" s="6">
        <v>34.405000000000001</v>
      </c>
      <c r="O76" s="6">
        <v>34.405000000000001</v>
      </c>
      <c r="P76" s="6">
        <v>267</v>
      </c>
      <c r="Q76" s="4" t="s">
        <v>26</v>
      </c>
      <c r="R76" s="4">
        <v>0</v>
      </c>
      <c r="S76" s="4" t="s">
        <v>159</v>
      </c>
      <c r="T76" s="4" t="s">
        <v>282</v>
      </c>
      <c r="U76" s="4">
        <v>0</v>
      </c>
      <c r="V76" s="4">
        <v>20</v>
      </c>
      <c r="W76" s="4">
        <v>37</v>
      </c>
    </row>
    <row r="77" spans="1:23" ht="11.25" customHeight="1" x14ac:dyDescent="0.3">
      <c r="A77" s="4" t="s">
        <v>41</v>
      </c>
      <c r="B77" s="4" t="s">
        <v>22</v>
      </c>
      <c r="C77" s="4" t="s">
        <v>23</v>
      </c>
      <c r="D77" s="4" t="s">
        <v>24</v>
      </c>
      <c r="E77" s="4" t="s">
        <v>24</v>
      </c>
      <c r="F77" s="4" t="s">
        <v>25</v>
      </c>
      <c r="G77" s="4" t="s">
        <v>25</v>
      </c>
      <c r="H77" s="4" t="s">
        <v>25</v>
      </c>
      <c r="I77" s="5">
        <v>44743</v>
      </c>
      <c r="J77" s="6">
        <v>0</v>
      </c>
      <c r="K77" s="6">
        <v>0</v>
      </c>
      <c r="L77" s="6">
        <v>0.1</v>
      </c>
      <c r="M77" s="6">
        <v>0.1</v>
      </c>
      <c r="N77" s="6">
        <v>0.1</v>
      </c>
      <c r="O77" s="6">
        <v>0.1</v>
      </c>
      <c r="P77" s="6">
        <v>1</v>
      </c>
      <c r="Q77" s="4" t="s">
        <v>26</v>
      </c>
      <c r="R77" s="4">
        <v>0</v>
      </c>
      <c r="S77" s="4" t="s">
        <v>159</v>
      </c>
      <c r="T77" s="4" t="s">
        <v>282</v>
      </c>
      <c r="U77" s="4">
        <v>0</v>
      </c>
      <c r="V77" s="4">
        <v>20</v>
      </c>
      <c r="W77" s="4">
        <v>37</v>
      </c>
    </row>
    <row r="78" spans="1:23" ht="11.25" customHeight="1" x14ac:dyDescent="0.3">
      <c r="A78" s="4" t="s">
        <v>21</v>
      </c>
      <c r="B78" s="4" t="s">
        <v>22</v>
      </c>
      <c r="C78" s="4" t="s">
        <v>23</v>
      </c>
      <c r="D78" s="4" t="s">
        <v>24</v>
      </c>
      <c r="E78" s="4" t="s">
        <v>24</v>
      </c>
      <c r="F78" s="4" t="s">
        <v>25</v>
      </c>
      <c r="G78" s="4" t="s">
        <v>25</v>
      </c>
      <c r="H78" s="4" t="s">
        <v>25</v>
      </c>
      <c r="I78" s="5">
        <v>44774</v>
      </c>
      <c r="J78" s="6">
        <v>0</v>
      </c>
      <c r="K78" s="6">
        <v>0</v>
      </c>
      <c r="L78" s="6">
        <v>40.055999999999997</v>
      </c>
      <c r="M78" s="6">
        <v>40.055999999999997</v>
      </c>
      <c r="N78" s="6">
        <v>40.055999999999997</v>
      </c>
      <c r="O78" s="6">
        <v>40.055999999999997</v>
      </c>
      <c r="P78" s="6">
        <v>272</v>
      </c>
      <c r="Q78" s="4" t="s">
        <v>26</v>
      </c>
      <c r="R78" s="4">
        <v>0</v>
      </c>
      <c r="S78" s="4" t="s">
        <v>160</v>
      </c>
      <c r="T78" s="4" t="s">
        <v>283</v>
      </c>
      <c r="U78" s="4">
        <v>0</v>
      </c>
      <c r="V78" s="4">
        <v>20</v>
      </c>
      <c r="W78" s="4">
        <v>37</v>
      </c>
    </row>
    <row r="79" spans="1:23" ht="11.25" customHeight="1" x14ac:dyDescent="0.3">
      <c r="A79" s="4" t="s">
        <v>41</v>
      </c>
      <c r="B79" s="4" t="s">
        <v>22</v>
      </c>
      <c r="C79" s="4" t="s">
        <v>23</v>
      </c>
      <c r="D79" s="4" t="s">
        <v>24</v>
      </c>
      <c r="E79" s="4" t="s">
        <v>24</v>
      </c>
      <c r="F79" s="4" t="s">
        <v>25</v>
      </c>
      <c r="G79" s="4" t="s">
        <v>25</v>
      </c>
      <c r="H79" s="4" t="s">
        <v>25</v>
      </c>
      <c r="I79" s="5">
        <v>44774</v>
      </c>
      <c r="J79" s="6">
        <v>0</v>
      </c>
      <c r="K79" s="6">
        <v>0</v>
      </c>
      <c r="L79" s="6">
        <v>0.1</v>
      </c>
      <c r="M79" s="6">
        <v>0.1</v>
      </c>
      <c r="N79" s="6">
        <v>0.1</v>
      </c>
      <c r="O79" s="6">
        <v>0.1</v>
      </c>
      <c r="P79" s="6">
        <v>1</v>
      </c>
      <c r="Q79" s="4" t="s">
        <v>26</v>
      </c>
      <c r="R79" s="4">
        <v>0</v>
      </c>
      <c r="S79" s="4" t="s">
        <v>160</v>
      </c>
      <c r="T79" s="4" t="s">
        <v>283</v>
      </c>
      <c r="U79" s="4">
        <v>0</v>
      </c>
      <c r="V79" s="4">
        <v>20</v>
      </c>
      <c r="W79" s="4">
        <v>37</v>
      </c>
    </row>
    <row r="80" spans="1:23" ht="11.25" customHeight="1" x14ac:dyDescent="0.3">
      <c r="A80" s="4" t="s">
        <v>21</v>
      </c>
      <c r="B80" s="4" t="s">
        <v>22</v>
      </c>
      <c r="C80" s="4" t="s">
        <v>23</v>
      </c>
      <c r="D80" s="4" t="s">
        <v>24</v>
      </c>
      <c r="E80" s="4" t="s">
        <v>27</v>
      </c>
      <c r="F80" s="4" t="s">
        <v>25</v>
      </c>
      <c r="G80" s="4" t="s">
        <v>25</v>
      </c>
      <c r="H80" s="4" t="s">
        <v>25</v>
      </c>
      <c r="I80" s="5">
        <v>44440</v>
      </c>
      <c r="J80" s="6">
        <v>0</v>
      </c>
      <c r="K80" s="6">
        <v>0</v>
      </c>
      <c r="L80" s="6">
        <v>0.06</v>
      </c>
      <c r="M80" s="6">
        <v>0.06</v>
      </c>
      <c r="N80" s="6">
        <v>0.06</v>
      </c>
      <c r="O80" s="6">
        <v>0.06</v>
      </c>
      <c r="P80" s="6">
        <v>0</v>
      </c>
      <c r="Q80" s="4" t="s">
        <v>26</v>
      </c>
      <c r="R80" s="4">
        <v>0</v>
      </c>
      <c r="S80" s="4" t="s">
        <v>161</v>
      </c>
      <c r="T80" s="4" t="s">
        <v>284</v>
      </c>
      <c r="U80" s="4">
        <v>0</v>
      </c>
      <c r="V80" s="4">
        <v>16</v>
      </c>
      <c r="W80" s="4">
        <v>45</v>
      </c>
    </row>
    <row r="81" spans="1:23" ht="11.25" customHeight="1" x14ac:dyDescent="0.3">
      <c r="A81" s="4" t="s">
        <v>21</v>
      </c>
      <c r="B81" s="4" t="s">
        <v>22</v>
      </c>
      <c r="C81" s="4" t="s">
        <v>23</v>
      </c>
      <c r="D81" s="4" t="s">
        <v>24</v>
      </c>
      <c r="E81" s="4" t="s">
        <v>27</v>
      </c>
      <c r="F81" s="4" t="s">
        <v>25</v>
      </c>
      <c r="G81" s="4" t="s">
        <v>25</v>
      </c>
      <c r="H81" s="4" t="s">
        <v>25</v>
      </c>
      <c r="I81" s="5">
        <v>44470</v>
      </c>
      <c r="J81" s="6">
        <v>0</v>
      </c>
      <c r="K81" s="6">
        <v>0</v>
      </c>
      <c r="L81" s="6">
        <v>0.06</v>
      </c>
      <c r="M81" s="6">
        <v>0.06</v>
      </c>
      <c r="N81" s="6">
        <v>0.06</v>
      </c>
      <c r="O81" s="6">
        <v>0.06</v>
      </c>
      <c r="P81" s="6">
        <v>0</v>
      </c>
      <c r="Q81" s="4" t="s">
        <v>26</v>
      </c>
      <c r="R81" s="4">
        <v>0</v>
      </c>
      <c r="S81" s="4" t="s">
        <v>162</v>
      </c>
      <c r="T81" s="4" t="s">
        <v>285</v>
      </c>
      <c r="U81" s="4">
        <v>0</v>
      </c>
      <c r="V81" s="4">
        <v>16</v>
      </c>
      <c r="W81" s="4">
        <v>45</v>
      </c>
    </row>
    <row r="82" spans="1:23" ht="11.25" customHeight="1" x14ac:dyDescent="0.3">
      <c r="A82" s="4" t="s">
        <v>21</v>
      </c>
      <c r="B82" s="4" t="s">
        <v>22</v>
      </c>
      <c r="C82" s="4" t="s">
        <v>23</v>
      </c>
      <c r="D82" s="4" t="s">
        <v>24</v>
      </c>
      <c r="E82" s="4" t="s">
        <v>27</v>
      </c>
      <c r="F82" s="4" t="s">
        <v>25</v>
      </c>
      <c r="G82" s="4" t="s">
        <v>25</v>
      </c>
      <c r="H82" s="4" t="s">
        <v>25</v>
      </c>
      <c r="I82" s="5">
        <v>44501</v>
      </c>
      <c r="J82" s="6">
        <v>0</v>
      </c>
      <c r="K82" s="6">
        <v>0</v>
      </c>
      <c r="L82" s="6">
        <v>0.09</v>
      </c>
      <c r="M82" s="6">
        <v>0.09</v>
      </c>
      <c r="N82" s="6">
        <v>0.09</v>
      </c>
      <c r="O82" s="6">
        <v>0.09</v>
      </c>
      <c r="P82" s="6">
        <v>0</v>
      </c>
      <c r="Q82" s="4" t="s">
        <v>26</v>
      </c>
      <c r="R82" s="4">
        <v>0</v>
      </c>
      <c r="S82" s="4" t="s">
        <v>163</v>
      </c>
      <c r="T82" s="4" t="s">
        <v>286</v>
      </c>
      <c r="U82" s="4">
        <v>0</v>
      </c>
      <c r="V82" s="4">
        <v>16</v>
      </c>
      <c r="W82" s="4">
        <v>45</v>
      </c>
    </row>
    <row r="83" spans="1:23" ht="11.25" customHeight="1" x14ac:dyDescent="0.3">
      <c r="A83" s="4" t="s">
        <v>21</v>
      </c>
      <c r="B83" s="4" t="s">
        <v>22</v>
      </c>
      <c r="C83" s="4" t="s">
        <v>23</v>
      </c>
      <c r="D83" s="4" t="s">
        <v>24</v>
      </c>
      <c r="E83" s="4" t="s">
        <v>27</v>
      </c>
      <c r="F83" s="4" t="s">
        <v>25</v>
      </c>
      <c r="G83" s="4" t="s">
        <v>25</v>
      </c>
      <c r="H83" s="4" t="s">
        <v>25</v>
      </c>
      <c r="I83" s="5">
        <v>44531</v>
      </c>
      <c r="J83" s="6">
        <v>0</v>
      </c>
      <c r="K83" s="6">
        <v>0</v>
      </c>
      <c r="L83" s="6">
        <v>0.09</v>
      </c>
      <c r="M83" s="6">
        <v>0.09</v>
      </c>
      <c r="N83" s="6">
        <v>0.09</v>
      </c>
      <c r="O83" s="6">
        <v>0.09</v>
      </c>
      <c r="P83" s="6">
        <v>0</v>
      </c>
      <c r="Q83" s="4" t="s">
        <v>26</v>
      </c>
      <c r="R83" s="4">
        <v>0</v>
      </c>
      <c r="S83" s="4" t="s">
        <v>164</v>
      </c>
      <c r="T83" s="4" t="s">
        <v>287</v>
      </c>
      <c r="U83" s="4">
        <v>0</v>
      </c>
      <c r="V83" s="4">
        <v>16</v>
      </c>
      <c r="W83" s="4">
        <v>45</v>
      </c>
    </row>
    <row r="84" spans="1:23" ht="11.25" customHeight="1" x14ac:dyDescent="0.3">
      <c r="A84" s="4" t="s">
        <v>21</v>
      </c>
      <c r="B84" s="4" t="s">
        <v>22</v>
      </c>
      <c r="C84" s="4" t="s">
        <v>23</v>
      </c>
      <c r="D84" s="4" t="s">
        <v>24</v>
      </c>
      <c r="E84" s="4" t="s">
        <v>27</v>
      </c>
      <c r="F84" s="4" t="s">
        <v>25</v>
      </c>
      <c r="G84" s="4" t="s">
        <v>25</v>
      </c>
      <c r="H84" s="4" t="s">
        <v>25</v>
      </c>
      <c r="I84" s="5">
        <v>44562</v>
      </c>
      <c r="J84" s="6">
        <v>0</v>
      </c>
      <c r="K84" s="6">
        <v>0</v>
      </c>
      <c r="L84" s="6">
        <v>0.09</v>
      </c>
      <c r="M84" s="6">
        <v>0.09</v>
      </c>
      <c r="N84" s="6">
        <v>0.09</v>
      </c>
      <c r="O84" s="6">
        <v>0.09</v>
      </c>
      <c r="P84" s="6">
        <v>0</v>
      </c>
      <c r="Q84" s="4" t="s">
        <v>26</v>
      </c>
      <c r="R84" s="4">
        <v>0</v>
      </c>
      <c r="S84" s="4" t="s">
        <v>165</v>
      </c>
      <c r="T84" s="4" t="s">
        <v>288</v>
      </c>
      <c r="U84" s="4">
        <v>0</v>
      </c>
      <c r="V84" s="4">
        <v>16</v>
      </c>
      <c r="W84" s="4">
        <v>45</v>
      </c>
    </row>
    <row r="85" spans="1:23" ht="11.25" customHeight="1" x14ac:dyDescent="0.3">
      <c r="A85" s="4" t="s">
        <v>21</v>
      </c>
      <c r="B85" s="4" t="s">
        <v>22</v>
      </c>
      <c r="C85" s="4" t="s">
        <v>23</v>
      </c>
      <c r="D85" s="4" t="s">
        <v>24</v>
      </c>
      <c r="E85" s="4" t="s">
        <v>27</v>
      </c>
      <c r="F85" s="4" t="s">
        <v>25</v>
      </c>
      <c r="G85" s="4" t="s">
        <v>25</v>
      </c>
      <c r="H85" s="4" t="s">
        <v>25</v>
      </c>
      <c r="I85" s="5">
        <v>44593</v>
      </c>
      <c r="J85" s="6">
        <v>0</v>
      </c>
      <c r="K85" s="6">
        <v>0</v>
      </c>
      <c r="L85" s="6">
        <v>0.18</v>
      </c>
      <c r="M85" s="6">
        <v>0.18</v>
      </c>
      <c r="N85" s="6">
        <v>0.18</v>
      </c>
      <c r="O85" s="6">
        <v>0.18</v>
      </c>
      <c r="P85" s="6">
        <v>0</v>
      </c>
      <c r="Q85" s="4" t="s">
        <v>26</v>
      </c>
      <c r="R85" s="4">
        <v>0</v>
      </c>
      <c r="S85" s="4" t="s">
        <v>166</v>
      </c>
      <c r="T85" s="4" t="s">
        <v>289</v>
      </c>
      <c r="U85" s="4">
        <v>0</v>
      </c>
      <c r="V85" s="4">
        <v>16</v>
      </c>
      <c r="W85" s="4">
        <v>45</v>
      </c>
    </row>
    <row r="86" spans="1:23" ht="11.25" customHeight="1" x14ac:dyDescent="0.3">
      <c r="A86" s="4" t="s">
        <v>21</v>
      </c>
      <c r="B86" s="4" t="s">
        <v>22</v>
      </c>
      <c r="C86" s="4" t="s">
        <v>23</v>
      </c>
      <c r="D86" s="4" t="s">
        <v>24</v>
      </c>
      <c r="E86" s="4" t="s">
        <v>27</v>
      </c>
      <c r="F86" s="4" t="s">
        <v>25</v>
      </c>
      <c r="G86" s="4" t="s">
        <v>25</v>
      </c>
      <c r="H86" s="4" t="s">
        <v>25</v>
      </c>
      <c r="I86" s="5">
        <v>44621</v>
      </c>
      <c r="J86" s="6">
        <v>0</v>
      </c>
      <c r="K86" s="6">
        <v>0</v>
      </c>
      <c r="L86" s="6">
        <v>0.3</v>
      </c>
      <c r="M86" s="6">
        <v>0.3</v>
      </c>
      <c r="N86" s="6">
        <v>0.3</v>
      </c>
      <c r="O86" s="6">
        <v>0.3</v>
      </c>
      <c r="P86" s="6">
        <v>1</v>
      </c>
      <c r="Q86" s="4" t="s">
        <v>26</v>
      </c>
      <c r="R86" s="4">
        <v>0</v>
      </c>
      <c r="S86" s="4" t="s">
        <v>167</v>
      </c>
      <c r="T86" s="4" t="s">
        <v>290</v>
      </c>
      <c r="U86" s="4">
        <v>0</v>
      </c>
      <c r="V86" s="4">
        <v>16</v>
      </c>
      <c r="W86" s="4">
        <v>45</v>
      </c>
    </row>
    <row r="87" spans="1:23" ht="11.25" customHeight="1" x14ac:dyDescent="0.3">
      <c r="A87" s="4" t="s">
        <v>21</v>
      </c>
      <c r="B87" s="4" t="s">
        <v>22</v>
      </c>
      <c r="C87" s="4" t="s">
        <v>23</v>
      </c>
      <c r="D87" s="4" t="s">
        <v>24</v>
      </c>
      <c r="E87" s="4" t="s">
        <v>27</v>
      </c>
      <c r="F87" s="4" t="s">
        <v>25</v>
      </c>
      <c r="G87" s="4" t="s">
        <v>25</v>
      </c>
      <c r="H87" s="4" t="s">
        <v>25</v>
      </c>
      <c r="I87" s="5">
        <v>44652</v>
      </c>
      <c r="J87" s="6">
        <v>0</v>
      </c>
      <c r="K87" s="6">
        <v>0</v>
      </c>
      <c r="L87" s="6">
        <v>0.3</v>
      </c>
      <c r="M87" s="6">
        <v>0.3</v>
      </c>
      <c r="N87" s="6">
        <v>0.3</v>
      </c>
      <c r="O87" s="6">
        <v>0.3</v>
      </c>
      <c r="P87" s="6">
        <v>2</v>
      </c>
      <c r="Q87" s="4" t="s">
        <v>26</v>
      </c>
      <c r="R87" s="4">
        <v>0</v>
      </c>
      <c r="S87" s="4" t="s">
        <v>168</v>
      </c>
      <c r="T87" s="4" t="s">
        <v>291</v>
      </c>
      <c r="U87" s="4">
        <v>0</v>
      </c>
      <c r="V87" s="4">
        <v>16</v>
      </c>
      <c r="W87" s="4">
        <v>45</v>
      </c>
    </row>
    <row r="88" spans="1:23" ht="11.25" customHeight="1" x14ac:dyDescent="0.3">
      <c r="A88" s="4" t="s">
        <v>21</v>
      </c>
      <c r="B88" s="4" t="s">
        <v>22</v>
      </c>
      <c r="C88" s="4" t="s">
        <v>23</v>
      </c>
      <c r="D88" s="4" t="s">
        <v>24</v>
      </c>
      <c r="E88" s="4" t="s">
        <v>27</v>
      </c>
      <c r="F88" s="4" t="s">
        <v>25</v>
      </c>
      <c r="G88" s="4" t="s">
        <v>25</v>
      </c>
      <c r="H88" s="4" t="s">
        <v>25</v>
      </c>
      <c r="I88" s="5">
        <v>44682</v>
      </c>
      <c r="J88" s="6">
        <v>0</v>
      </c>
      <c r="K88" s="6">
        <v>0</v>
      </c>
      <c r="L88" s="6">
        <v>0.3</v>
      </c>
      <c r="M88" s="6">
        <v>0.3</v>
      </c>
      <c r="N88" s="6">
        <v>0.3</v>
      </c>
      <c r="O88" s="6">
        <v>0.3</v>
      </c>
      <c r="P88" s="6">
        <v>2</v>
      </c>
      <c r="Q88" s="4" t="s">
        <v>26</v>
      </c>
      <c r="R88" s="4">
        <v>0</v>
      </c>
      <c r="S88" s="4" t="s">
        <v>169</v>
      </c>
      <c r="T88" s="4" t="s">
        <v>292</v>
      </c>
      <c r="U88" s="4">
        <v>0</v>
      </c>
      <c r="V88" s="4">
        <v>16</v>
      </c>
      <c r="W88" s="4">
        <v>45</v>
      </c>
    </row>
    <row r="89" spans="1:23" ht="11.25" customHeight="1" x14ac:dyDescent="0.3">
      <c r="A89" s="4" t="s">
        <v>21</v>
      </c>
      <c r="B89" s="4" t="s">
        <v>22</v>
      </c>
      <c r="C89" s="4" t="s">
        <v>23</v>
      </c>
      <c r="D89" s="4" t="s">
        <v>24</v>
      </c>
      <c r="E89" s="4" t="s">
        <v>27</v>
      </c>
      <c r="F89" s="4" t="s">
        <v>25</v>
      </c>
      <c r="G89" s="4" t="s">
        <v>25</v>
      </c>
      <c r="H89" s="4" t="s">
        <v>25</v>
      </c>
      <c r="I89" s="5">
        <v>44713</v>
      </c>
      <c r="J89" s="6">
        <v>0</v>
      </c>
      <c r="K89" s="6">
        <v>0</v>
      </c>
      <c r="L89" s="6">
        <v>0.3</v>
      </c>
      <c r="M89" s="6">
        <v>0.3</v>
      </c>
      <c r="N89" s="6">
        <v>0.3</v>
      </c>
      <c r="O89" s="6">
        <v>0.3</v>
      </c>
      <c r="P89" s="6">
        <v>2</v>
      </c>
      <c r="Q89" s="4" t="s">
        <v>26</v>
      </c>
      <c r="R89" s="4">
        <v>0</v>
      </c>
      <c r="S89" s="4" t="s">
        <v>170</v>
      </c>
      <c r="T89" s="4" t="s">
        <v>293</v>
      </c>
      <c r="U89" s="4">
        <v>0</v>
      </c>
      <c r="V89" s="4">
        <v>16</v>
      </c>
      <c r="W89" s="4">
        <v>45</v>
      </c>
    </row>
    <row r="90" spans="1:23" ht="11.25" customHeight="1" x14ac:dyDescent="0.3">
      <c r="A90" s="4" t="s">
        <v>21</v>
      </c>
      <c r="B90" s="4" t="s">
        <v>22</v>
      </c>
      <c r="C90" s="4" t="s">
        <v>23</v>
      </c>
      <c r="D90" s="4" t="s">
        <v>24</v>
      </c>
      <c r="E90" s="4" t="s">
        <v>27</v>
      </c>
      <c r="F90" s="4" t="s">
        <v>25</v>
      </c>
      <c r="G90" s="4" t="s">
        <v>25</v>
      </c>
      <c r="H90" s="4" t="s">
        <v>25</v>
      </c>
      <c r="I90" s="5">
        <v>44743</v>
      </c>
      <c r="J90" s="6">
        <v>0</v>
      </c>
      <c r="K90" s="6">
        <v>0</v>
      </c>
      <c r="L90" s="6">
        <v>0.3</v>
      </c>
      <c r="M90" s="6">
        <v>0.3</v>
      </c>
      <c r="N90" s="6">
        <v>0.3</v>
      </c>
      <c r="O90" s="6">
        <v>0.3</v>
      </c>
      <c r="P90" s="6">
        <v>2</v>
      </c>
      <c r="Q90" s="4" t="s">
        <v>26</v>
      </c>
      <c r="R90" s="4">
        <v>0</v>
      </c>
      <c r="S90" s="4" t="s">
        <v>171</v>
      </c>
      <c r="T90" s="4" t="s">
        <v>294</v>
      </c>
      <c r="U90" s="4">
        <v>0</v>
      </c>
      <c r="V90" s="4">
        <v>16</v>
      </c>
      <c r="W90" s="4">
        <v>45</v>
      </c>
    </row>
    <row r="91" spans="1:23" ht="11.25" customHeight="1" x14ac:dyDescent="0.3">
      <c r="A91" s="4" t="s">
        <v>21</v>
      </c>
      <c r="B91" s="4" t="s">
        <v>22</v>
      </c>
      <c r="C91" s="4" t="s">
        <v>23</v>
      </c>
      <c r="D91" s="4" t="s">
        <v>24</v>
      </c>
      <c r="E91" s="4" t="s">
        <v>27</v>
      </c>
      <c r="F91" s="4" t="s">
        <v>25</v>
      </c>
      <c r="G91" s="4" t="s">
        <v>25</v>
      </c>
      <c r="H91" s="4" t="s">
        <v>25</v>
      </c>
      <c r="I91" s="5">
        <v>44774</v>
      </c>
      <c r="J91" s="6">
        <v>0</v>
      </c>
      <c r="K91" s="6">
        <v>0</v>
      </c>
      <c r="L91" s="6">
        <v>0.3</v>
      </c>
      <c r="M91" s="6">
        <v>0.3</v>
      </c>
      <c r="N91" s="6">
        <v>0.3</v>
      </c>
      <c r="O91" s="6">
        <v>0.3</v>
      </c>
      <c r="P91" s="6">
        <v>2</v>
      </c>
      <c r="Q91" s="4" t="s">
        <v>26</v>
      </c>
      <c r="R91" s="4">
        <v>0</v>
      </c>
      <c r="S91" s="4" t="s">
        <v>172</v>
      </c>
      <c r="T91" s="4" t="s">
        <v>295</v>
      </c>
      <c r="U91" s="4">
        <v>0</v>
      </c>
      <c r="V91" s="4">
        <v>16</v>
      </c>
      <c r="W91" s="4">
        <v>45</v>
      </c>
    </row>
    <row r="92" spans="1:23" ht="11.25" customHeight="1" x14ac:dyDescent="0.3">
      <c r="A92" s="4" t="s">
        <v>21</v>
      </c>
      <c r="B92" s="4" t="s">
        <v>22</v>
      </c>
      <c r="C92" s="4" t="s">
        <v>23</v>
      </c>
      <c r="D92" s="4" t="s">
        <v>24</v>
      </c>
      <c r="E92" s="4" t="s">
        <v>28</v>
      </c>
      <c r="F92" s="4" t="s">
        <v>25</v>
      </c>
      <c r="G92" s="4" t="s">
        <v>25</v>
      </c>
      <c r="H92" s="4" t="s">
        <v>25</v>
      </c>
      <c r="I92" s="5">
        <v>44440</v>
      </c>
      <c r="J92" s="6">
        <v>0</v>
      </c>
      <c r="K92" s="6">
        <v>0</v>
      </c>
      <c r="L92" s="6">
        <v>0.13200000000000001</v>
      </c>
      <c r="M92" s="6">
        <v>0.13200000000000001</v>
      </c>
      <c r="N92" s="6">
        <v>0.13200000000000001</v>
      </c>
      <c r="O92" s="6">
        <v>0.13200000000000001</v>
      </c>
      <c r="P92" s="6">
        <v>1</v>
      </c>
      <c r="Q92" s="4" t="s">
        <v>26</v>
      </c>
      <c r="R92" s="4">
        <v>0</v>
      </c>
      <c r="S92" s="4" t="s">
        <v>173</v>
      </c>
      <c r="T92" s="4" t="s">
        <v>296</v>
      </c>
      <c r="U92" s="4">
        <v>0</v>
      </c>
      <c r="V92" s="4">
        <v>10</v>
      </c>
      <c r="W92" s="4">
        <v>56</v>
      </c>
    </row>
    <row r="93" spans="1:23" ht="11.25" customHeight="1" x14ac:dyDescent="0.3">
      <c r="A93" s="4" t="s">
        <v>21</v>
      </c>
      <c r="B93" s="4" t="s">
        <v>22</v>
      </c>
      <c r="C93" s="4" t="s">
        <v>23</v>
      </c>
      <c r="D93" s="4" t="s">
        <v>24</v>
      </c>
      <c r="E93" s="4" t="s">
        <v>28</v>
      </c>
      <c r="F93" s="4" t="s">
        <v>25</v>
      </c>
      <c r="G93" s="4" t="s">
        <v>25</v>
      </c>
      <c r="H93" s="4" t="s">
        <v>25</v>
      </c>
      <c r="I93" s="5">
        <v>44470</v>
      </c>
      <c r="J93" s="6">
        <v>0</v>
      </c>
      <c r="K93" s="6">
        <v>0</v>
      </c>
      <c r="L93" s="6">
        <v>0.13300000000000001</v>
      </c>
      <c r="M93" s="6">
        <v>0.13300000000000001</v>
      </c>
      <c r="N93" s="6">
        <v>0.13300000000000001</v>
      </c>
      <c r="O93" s="6">
        <v>0.13300000000000001</v>
      </c>
      <c r="P93" s="6">
        <v>1</v>
      </c>
      <c r="Q93" s="4" t="s">
        <v>26</v>
      </c>
      <c r="R93" s="4">
        <v>0</v>
      </c>
      <c r="S93" s="4" t="s">
        <v>174</v>
      </c>
      <c r="T93" s="4" t="s">
        <v>297</v>
      </c>
      <c r="U93" s="4">
        <v>0</v>
      </c>
      <c r="V93" s="4">
        <v>10</v>
      </c>
      <c r="W93" s="4">
        <v>56</v>
      </c>
    </row>
    <row r="94" spans="1:23" ht="11.25" customHeight="1" x14ac:dyDescent="0.3">
      <c r="A94" s="4" t="s">
        <v>21</v>
      </c>
      <c r="B94" s="4" t="s">
        <v>22</v>
      </c>
      <c r="C94" s="4" t="s">
        <v>23</v>
      </c>
      <c r="D94" s="4" t="s">
        <v>24</v>
      </c>
      <c r="E94" s="4" t="s">
        <v>28</v>
      </c>
      <c r="F94" s="4" t="s">
        <v>25</v>
      </c>
      <c r="G94" s="4" t="s">
        <v>25</v>
      </c>
      <c r="H94" s="4" t="s">
        <v>25</v>
      </c>
      <c r="I94" s="5">
        <v>44501</v>
      </c>
      <c r="J94" s="6">
        <v>0</v>
      </c>
      <c r="K94" s="6">
        <v>0</v>
      </c>
      <c r="L94" s="6">
        <v>0.21</v>
      </c>
      <c r="M94" s="6">
        <v>0.21</v>
      </c>
      <c r="N94" s="6">
        <v>0.21</v>
      </c>
      <c r="O94" s="6">
        <v>0.21</v>
      </c>
      <c r="P94" s="6">
        <v>0</v>
      </c>
      <c r="Q94" s="4" t="s">
        <v>26</v>
      </c>
      <c r="R94" s="4">
        <v>0</v>
      </c>
      <c r="S94" s="4" t="s">
        <v>175</v>
      </c>
      <c r="T94" s="4" t="s">
        <v>298</v>
      </c>
      <c r="U94" s="4">
        <v>0</v>
      </c>
      <c r="V94" s="4">
        <v>10</v>
      </c>
      <c r="W94" s="4">
        <v>56</v>
      </c>
    </row>
    <row r="95" spans="1:23" ht="11.25" customHeight="1" x14ac:dyDescent="0.3">
      <c r="A95" s="4" t="s">
        <v>21</v>
      </c>
      <c r="B95" s="4" t="s">
        <v>22</v>
      </c>
      <c r="C95" s="4" t="s">
        <v>23</v>
      </c>
      <c r="D95" s="4" t="s">
        <v>24</v>
      </c>
      <c r="E95" s="4" t="s">
        <v>28</v>
      </c>
      <c r="F95" s="4" t="s">
        <v>25</v>
      </c>
      <c r="G95" s="4" t="s">
        <v>25</v>
      </c>
      <c r="H95" s="4" t="s">
        <v>25</v>
      </c>
      <c r="I95" s="5">
        <v>44531</v>
      </c>
      <c r="J95" s="6">
        <v>0</v>
      </c>
      <c r="K95" s="6">
        <v>0</v>
      </c>
      <c r="L95" s="6">
        <v>0.21</v>
      </c>
      <c r="M95" s="6">
        <v>0.21</v>
      </c>
      <c r="N95" s="6">
        <v>0.21</v>
      </c>
      <c r="O95" s="6">
        <v>0.21</v>
      </c>
      <c r="P95" s="6">
        <v>0</v>
      </c>
      <c r="Q95" s="4" t="s">
        <v>26</v>
      </c>
      <c r="R95" s="4">
        <v>0</v>
      </c>
      <c r="S95" s="4" t="s">
        <v>176</v>
      </c>
      <c r="T95" s="4" t="s">
        <v>299</v>
      </c>
      <c r="U95" s="4">
        <v>0</v>
      </c>
      <c r="V95" s="4">
        <v>10</v>
      </c>
      <c r="W95" s="4">
        <v>56</v>
      </c>
    </row>
    <row r="96" spans="1:23" ht="11.25" customHeight="1" x14ac:dyDescent="0.3">
      <c r="A96" s="4" t="s">
        <v>21</v>
      </c>
      <c r="B96" s="4" t="s">
        <v>22</v>
      </c>
      <c r="C96" s="4" t="s">
        <v>23</v>
      </c>
      <c r="D96" s="4" t="s">
        <v>24</v>
      </c>
      <c r="E96" s="4" t="s">
        <v>28</v>
      </c>
      <c r="F96" s="4" t="s">
        <v>25</v>
      </c>
      <c r="G96" s="4" t="s">
        <v>25</v>
      </c>
      <c r="H96" s="4" t="s">
        <v>25</v>
      </c>
      <c r="I96" s="5">
        <v>44562</v>
      </c>
      <c r="J96" s="6">
        <v>0</v>
      </c>
      <c r="K96" s="6">
        <v>0</v>
      </c>
      <c r="L96" s="6">
        <v>0.21</v>
      </c>
      <c r="M96" s="6">
        <v>0.21</v>
      </c>
      <c r="N96" s="6">
        <v>0.21</v>
      </c>
      <c r="O96" s="6">
        <v>0.21</v>
      </c>
      <c r="P96" s="6">
        <v>0</v>
      </c>
      <c r="Q96" s="4" t="s">
        <v>26</v>
      </c>
      <c r="R96" s="4">
        <v>0</v>
      </c>
      <c r="S96" s="4" t="s">
        <v>177</v>
      </c>
      <c r="T96" s="4" t="s">
        <v>300</v>
      </c>
      <c r="U96" s="4">
        <v>0</v>
      </c>
      <c r="V96" s="4">
        <v>10</v>
      </c>
      <c r="W96" s="4">
        <v>56</v>
      </c>
    </row>
    <row r="97" spans="1:23" ht="11.25" customHeight="1" x14ac:dyDescent="0.3">
      <c r="A97" s="4" t="s">
        <v>21</v>
      </c>
      <c r="B97" s="4" t="s">
        <v>22</v>
      </c>
      <c r="C97" s="4" t="s">
        <v>23</v>
      </c>
      <c r="D97" s="4" t="s">
        <v>24</v>
      </c>
      <c r="E97" s="4" t="s">
        <v>28</v>
      </c>
      <c r="F97" s="4" t="s">
        <v>25</v>
      </c>
      <c r="G97" s="4" t="s">
        <v>25</v>
      </c>
      <c r="H97" s="4" t="s">
        <v>25</v>
      </c>
      <c r="I97" s="5">
        <v>44593</v>
      </c>
      <c r="J97" s="6">
        <v>0</v>
      </c>
      <c r="K97" s="6">
        <v>0</v>
      </c>
      <c r="L97" s="6">
        <v>0.42</v>
      </c>
      <c r="M97" s="6">
        <v>0.42</v>
      </c>
      <c r="N97" s="6">
        <v>0.42</v>
      </c>
      <c r="O97" s="6">
        <v>0.42</v>
      </c>
      <c r="P97" s="6">
        <v>0</v>
      </c>
      <c r="Q97" s="4" t="s">
        <v>26</v>
      </c>
      <c r="R97" s="4">
        <v>0</v>
      </c>
      <c r="S97" s="4" t="s">
        <v>178</v>
      </c>
      <c r="T97" s="4" t="s">
        <v>301</v>
      </c>
      <c r="U97" s="4">
        <v>0</v>
      </c>
      <c r="V97" s="4">
        <v>10</v>
      </c>
      <c r="W97" s="4">
        <v>56</v>
      </c>
    </row>
    <row r="98" spans="1:23" ht="11.25" customHeight="1" x14ac:dyDescent="0.3">
      <c r="A98" s="4" t="s">
        <v>21</v>
      </c>
      <c r="B98" s="4" t="s">
        <v>22</v>
      </c>
      <c r="C98" s="4" t="s">
        <v>23</v>
      </c>
      <c r="D98" s="4" t="s">
        <v>24</v>
      </c>
      <c r="E98" s="4" t="s">
        <v>28</v>
      </c>
      <c r="F98" s="4" t="s">
        <v>25</v>
      </c>
      <c r="G98" s="4" t="s">
        <v>25</v>
      </c>
      <c r="H98" s="4" t="s">
        <v>25</v>
      </c>
      <c r="I98" s="5">
        <v>44621</v>
      </c>
      <c r="J98" s="6">
        <v>0</v>
      </c>
      <c r="K98" s="6">
        <v>0</v>
      </c>
      <c r="L98" s="6">
        <v>0.56100000000000005</v>
      </c>
      <c r="M98" s="6">
        <v>0.56100000000000005</v>
      </c>
      <c r="N98" s="6">
        <v>0.56100000000000005</v>
      </c>
      <c r="O98" s="6">
        <v>0.56100000000000005</v>
      </c>
      <c r="P98" s="6">
        <v>1</v>
      </c>
      <c r="Q98" s="4" t="s">
        <v>26</v>
      </c>
      <c r="R98" s="4">
        <v>0</v>
      </c>
      <c r="S98" s="4" t="s">
        <v>179</v>
      </c>
      <c r="T98" s="4" t="s">
        <v>302</v>
      </c>
      <c r="U98" s="4">
        <v>0</v>
      </c>
      <c r="V98" s="4">
        <v>10</v>
      </c>
      <c r="W98" s="4">
        <v>56</v>
      </c>
    </row>
    <row r="99" spans="1:23" ht="11.25" customHeight="1" x14ac:dyDescent="0.3">
      <c r="A99" s="4" t="s">
        <v>21</v>
      </c>
      <c r="B99" s="4" t="s">
        <v>22</v>
      </c>
      <c r="C99" s="4" t="s">
        <v>23</v>
      </c>
      <c r="D99" s="4" t="s">
        <v>24</v>
      </c>
      <c r="E99" s="4" t="s">
        <v>28</v>
      </c>
      <c r="F99" s="4" t="s">
        <v>25</v>
      </c>
      <c r="G99" s="4" t="s">
        <v>25</v>
      </c>
      <c r="H99" s="4" t="s">
        <v>25</v>
      </c>
      <c r="I99" s="5">
        <v>44652</v>
      </c>
      <c r="J99" s="6">
        <v>0</v>
      </c>
      <c r="K99" s="6">
        <v>0</v>
      </c>
      <c r="L99" s="6">
        <v>0.49199999999999999</v>
      </c>
      <c r="M99" s="6">
        <v>0.49199999999999999</v>
      </c>
      <c r="N99" s="6">
        <v>0.49199999999999999</v>
      </c>
      <c r="O99" s="6">
        <v>0.49199999999999999</v>
      </c>
      <c r="P99" s="6">
        <v>1</v>
      </c>
      <c r="Q99" s="4" t="s">
        <v>26</v>
      </c>
      <c r="R99" s="4">
        <v>0</v>
      </c>
      <c r="S99" s="4" t="s">
        <v>180</v>
      </c>
      <c r="T99" s="4" t="s">
        <v>303</v>
      </c>
      <c r="U99" s="4">
        <v>0</v>
      </c>
      <c r="V99" s="4">
        <v>10</v>
      </c>
      <c r="W99" s="4">
        <v>56</v>
      </c>
    </row>
    <row r="100" spans="1:23" ht="11.25" customHeight="1" x14ac:dyDescent="0.3">
      <c r="A100" s="4" t="s">
        <v>21</v>
      </c>
      <c r="B100" s="4" t="s">
        <v>22</v>
      </c>
      <c r="C100" s="4" t="s">
        <v>23</v>
      </c>
      <c r="D100" s="4" t="s">
        <v>24</v>
      </c>
      <c r="E100" s="4" t="s">
        <v>28</v>
      </c>
      <c r="F100" s="4" t="s">
        <v>25</v>
      </c>
      <c r="G100" s="4" t="s">
        <v>25</v>
      </c>
      <c r="H100" s="4" t="s">
        <v>25</v>
      </c>
      <c r="I100" s="5">
        <v>44682</v>
      </c>
      <c r="J100" s="6">
        <v>0</v>
      </c>
      <c r="K100" s="6">
        <v>0</v>
      </c>
      <c r="L100" s="6">
        <v>0.495</v>
      </c>
      <c r="M100" s="6">
        <v>0.495</v>
      </c>
      <c r="N100" s="6">
        <v>0.495</v>
      </c>
      <c r="O100" s="6">
        <v>0.495</v>
      </c>
      <c r="P100" s="6">
        <v>1</v>
      </c>
      <c r="Q100" s="4" t="s">
        <v>26</v>
      </c>
      <c r="R100" s="4">
        <v>0</v>
      </c>
      <c r="S100" s="4" t="s">
        <v>181</v>
      </c>
      <c r="T100" s="4" t="s">
        <v>304</v>
      </c>
      <c r="U100" s="4">
        <v>0</v>
      </c>
      <c r="V100" s="4">
        <v>10</v>
      </c>
      <c r="W100" s="4">
        <v>56</v>
      </c>
    </row>
    <row r="101" spans="1:23" ht="11.25" customHeight="1" x14ac:dyDescent="0.3">
      <c r="A101" s="4" t="s">
        <v>21</v>
      </c>
      <c r="B101" s="4" t="s">
        <v>22</v>
      </c>
      <c r="C101" s="4" t="s">
        <v>23</v>
      </c>
      <c r="D101" s="4" t="s">
        <v>24</v>
      </c>
      <c r="E101" s="4" t="s">
        <v>28</v>
      </c>
      <c r="F101" s="4" t="s">
        <v>25</v>
      </c>
      <c r="G101" s="4" t="s">
        <v>25</v>
      </c>
      <c r="H101" s="4" t="s">
        <v>25</v>
      </c>
      <c r="I101" s="5">
        <v>44713</v>
      </c>
      <c r="J101" s="6">
        <v>0</v>
      </c>
      <c r="K101" s="6">
        <v>0</v>
      </c>
      <c r="L101" s="6">
        <v>0.48099999999999998</v>
      </c>
      <c r="M101" s="6">
        <v>0.48099999999999998</v>
      </c>
      <c r="N101" s="6">
        <v>0.48099999999999998</v>
      </c>
      <c r="O101" s="6">
        <v>0.48099999999999998</v>
      </c>
      <c r="P101" s="6">
        <v>2</v>
      </c>
      <c r="Q101" s="4" t="s">
        <v>26</v>
      </c>
      <c r="R101" s="4">
        <v>0</v>
      </c>
      <c r="S101" s="4" t="s">
        <v>182</v>
      </c>
      <c r="T101" s="4" t="s">
        <v>305</v>
      </c>
      <c r="U101" s="4">
        <v>0</v>
      </c>
      <c r="V101" s="4">
        <v>10</v>
      </c>
      <c r="W101" s="4">
        <v>56</v>
      </c>
    </row>
    <row r="102" spans="1:23" ht="11.25" customHeight="1" x14ac:dyDescent="0.3">
      <c r="A102" s="4" t="s">
        <v>21</v>
      </c>
      <c r="B102" s="4" t="s">
        <v>22</v>
      </c>
      <c r="C102" s="4" t="s">
        <v>23</v>
      </c>
      <c r="D102" s="4" t="s">
        <v>24</v>
      </c>
      <c r="E102" s="4" t="s">
        <v>28</v>
      </c>
      <c r="F102" s="4" t="s">
        <v>25</v>
      </c>
      <c r="G102" s="4" t="s">
        <v>25</v>
      </c>
      <c r="H102" s="4" t="s">
        <v>25</v>
      </c>
      <c r="I102" s="5">
        <v>44743</v>
      </c>
      <c r="J102" s="6">
        <v>0</v>
      </c>
      <c r="K102" s="6">
        <v>0</v>
      </c>
      <c r="L102" s="6">
        <v>0.48899999999999999</v>
      </c>
      <c r="M102" s="6">
        <v>0.48899999999999999</v>
      </c>
      <c r="N102" s="6">
        <v>0.48899999999999999</v>
      </c>
      <c r="O102" s="6">
        <v>0.48899999999999999</v>
      </c>
      <c r="P102" s="6">
        <v>2</v>
      </c>
      <c r="Q102" s="4" t="s">
        <v>26</v>
      </c>
      <c r="R102" s="4">
        <v>0</v>
      </c>
      <c r="S102" s="4" t="s">
        <v>183</v>
      </c>
      <c r="T102" s="4" t="s">
        <v>306</v>
      </c>
      <c r="U102" s="4">
        <v>0</v>
      </c>
      <c r="V102" s="4">
        <v>10</v>
      </c>
      <c r="W102" s="4">
        <v>56</v>
      </c>
    </row>
    <row r="103" spans="1:23" ht="11.25" customHeight="1" x14ac:dyDescent="0.3">
      <c r="A103" s="4" t="s">
        <v>21</v>
      </c>
      <c r="B103" s="4" t="s">
        <v>22</v>
      </c>
      <c r="C103" s="4" t="s">
        <v>23</v>
      </c>
      <c r="D103" s="4" t="s">
        <v>24</v>
      </c>
      <c r="E103" s="4" t="s">
        <v>28</v>
      </c>
      <c r="F103" s="4" t="s">
        <v>25</v>
      </c>
      <c r="G103" s="4" t="s">
        <v>25</v>
      </c>
      <c r="H103" s="4" t="s">
        <v>25</v>
      </c>
      <c r="I103" s="5">
        <v>44774</v>
      </c>
      <c r="J103" s="6">
        <v>0</v>
      </c>
      <c r="K103" s="6">
        <v>0</v>
      </c>
      <c r="L103" s="6">
        <v>0.49399999999999999</v>
      </c>
      <c r="M103" s="6">
        <v>0.49399999999999999</v>
      </c>
      <c r="N103" s="6">
        <v>0.49399999999999999</v>
      </c>
      <c r="O103" s="6">
        <v>0.49399999999999999</v>
      </c>
      <c r="P103" s="6">
        <v>1</v>
      </c>
      <c r="Q103" s="4" t="s">
        <v>26</v>
      </c>
      <c r="R103" s="4">
        <v>0</v>
      </c>
      <c r="S103" s="4" t="s">
        <v>184</v>
      </c>
      <c r="T103" s="4" t="s">
        <v>307</v>
      </c>
      <c r="U103" s="4">
        <v>0</v>
      </c>
      <c r="V103" s="4">
        <v>10</v>
      </c>
      <c r="W103" s="4">
        <v>56</v>
      </c>
    </row>
    <row r="104" spans="1:23" ht="11.25" customHeight="1" x14ac:dyDescent="0.3">
      <c r="A104" s="4" t="s">
        <v>21</v>
      </c>
      <c r="B104" s="4" t="s">
        <v>22</v>
      </c>
      <c r="C104" s="4" t="s">
        <v>23</v>
      </c>
      <c r="D104" s="4" t="s">
        <v>24</v>
      </c>
      <c r="E104" s="4" t="s">
        <v>29</v>
      </c>
      <c r="F104" s="4" t="s">
        <v>25</v>
      </c>
      <c r="G104" s="4" t="s">
        <v>25</v>
      </c>
      <c r="H104" s="4" t="s">
        <v>25</v>
      </c>
      <c r="I104" s="5">
        <v>44440</v>
      </c>
      <c r="J104" s="6">
        <v>0</v>
      </c>
      <c r="K104" s="6">
        <v>0</v>
      </c>
      <c r="L104" s="6">
        <v>0.12</v>
      </c>
      <c r="M104" s="6">
        <v>0.12</v>
      </c>
      <c r="N104" s="6">
        <v>0.12</v>
      </c>
      <c r="O104" s="6">
        <v>0.12</v>
      </c>
      <c r="P104" s="6">
        <v>0</v>
      </c>
      <c r="Q104" s="4" t="s">
        <v>26</v>
      </c>
      <c r="R104" s="4">
        <v>0</v>
      </c>
      <c r="S104" s="4" t="s">
        <v>185</v>
      </c>
      <c r="T104" s="4" t="s">
        <v>308</v>
      </c>
      <c r="U104" s="4">
        <v>0</v>
      </c>
      <c r="V104" s="4">
        <v>42</v>
      </c>
      <c r="W104" s="4">
        <v>60</v>
      </c>
    </row>
    <row r="105" spans="1:23" ht="11.25" customHeight="1" x14ac:dyDescent="0.3">
      <c r="A105" s="4" t="s">
        <v>21</v>
      </c>
      <c r="B105" s="4" t="s">
        <v>22</v>
      </c>
      <c r="C105" s="4" t="s">
        <v>23</v>
      </c>
      <c r="D105" s="4" t="s">
        <v>24</v>
      </c>
      <c r="E105" s="4" t="s">
        <v>29</v>
      </c>
      <c r="F105" s="4" t="s">
        <v>25</v>
      </c>
      <c r="G105" s="4" t="s">
        <v>25</v>
      </c>
      <c r="H105" s="4" t="s">
        <v>25</v>
      </c>
      <c r="I105" s="5">
        <v>44470</v>
      </c>
      <c r="J105" s="6">
        <v>0</v>
      </c>
      <c r="K105" s="6">
        <v>0</v>
      </c>
      <c r="L105" s="6">
        <v>0.106</v>
      </c>
      <c r="M105" s="6">
        <v>0.106</v>
      </c>
      <c r="N105" s="6">
        <v>0.106</v>
      </c>
      <c r="O105" s="6">
        <v>0.106</v>
      </c>
      <c r="P105" s="6">
        <v>1</v>
      </c>
      <c r="Q105" s="4" t="s">
        <v>26</v>
      </c>
      <c r="R105" s="4">
        <v>0</v>
      </c>
      <c r="S105" s="4" t="s">
        <v>186</v>
      </c>
      <c r="T105" s="4" t="s">
        <v>309</v>
      </c>
      <c r="U105" s="4">
        <v>0</v>
      </c>
      <c r="V105" s="4">
        <v>42</v>
      </c>
      <c r="W105" s="4">
        <v>60</v>
      </c>
    </row>
    <row r="106" spans="1:23" ht="11.25" customHeight="1" x14ac:dyDescent="0.3">
      <c r="A106" s="4" t="s">
        <v>21</v>
      </c>
      <c r="B106" s="4" t="s">
        <v>22</v>
      </c>
      <c r="C106" s="4" t="s">
        <v>23</v>
      </c>
      <c r="D106" s="4" t="s">
        <v>24</v>
      </c>
      <c r="E106" s="4" t="s">
        <v>29</v>
      </c>
      <c r="F106" s="4" t="s">
        <v>25</v>
      </c>
      <c r="G106" s="4" t="s">
        <v>25</v>
      </c>
      <c r="H106" s="4" t="s">
        <v>25</v>
      </c>
      <c r="I106" s="5">
        <v>44501</v>
      </c>
      <c r="J106" s="6">
        <v>0</v>
      </c>
      <c r="K106" s="6">
        <v>0</v>
      </c>
      <c r="L106" s="6">
        <v>0.215</v>
      </c>
      <c r="M106" s="6">
        <v>0.215</v>
      </c>
      <c r="N106" s="6">
        <v>0.215</v>
      </c>
      <c r="O106" s="6">
        <v>0.215</v>
      </c>
      <c r="P106" s="6">
        <v>3</v>
      </c>
      <c r="Q106" s="4" t="s">
        <v>26</v>
      </c>
      <c r="R106" s="4">
        <v>0</v>
      </c>
      <c r="S106" s="4" t="s">
        <v>187</v>
      </c>
      <c r="T106" s="4" t="s">
        <v>310</v>
      </c>
      <c r="U106" s="4">
        <v>0</v>
      </c>
      <c r="V106" s="4">
        <v>42</v>
      </c>
      <c r="W106" s="4">
        <v>60</v>
      </c>
    </row>
    <row r="107" spans="1:23" ht="11.25" customHeight="1" x14ac:dyDescent="0.3">
      <c r="A107" s="4" t="s">
        <v>21</v>
      </c>
      <c r="B107" s="4" t="s">
        <v>22</v>
      </c>
      <c r="C107" s="4" t="s">
        <v>23</v>
      </c>
      <c r="D107" s="4" t="s">
        <v>24</v>
      </c>
      <c r="E107" s="4" t="s">
        <v>29</v>
      </c>
      <c r="F107" s="4" t="s">
        <v>25</v>
      </c>
      <c r="G107" s="4" t="s">
        <v>25</v>
      </c>
      <c r="H107" s="4" t="s">
        <v>25</v>
      </c>
      <c r="I107" s="5">
        <v>44531</v>
      </c>
      <c r="J107" s="6">
        <v>0</v>
      </c>
      <c r="K107" s="6">
        <v>0</v>
      </c>
      <c r="L107" s="6">
        <v>0.215</v>
      </c>
      <c r="M107" s="6">
        <v>0.215</v>
      </c>
      <c r="N107" s="6">
        <v>0.215</v>
      </c>
      <c r="O107" s="6">
        <v>0.215</v>
      </c>
      <c r="P107" s="6">
        <v>2</v>
      </c>
      <c r="Q107" s="4" t="s">
        <v>26</v>
      </c>
      <c r="R107" s="4">
        <v>0</v>
      </c>
      <c r="S107" s="4" t="s">
        <v>188</v>
      </c>
      <c r="T107" s="4" t="s">
        <v>311</v>
      </c>
      <c r="U107" s="4">
        <v>0</v>
      </c>
      <c r="V107" s="4">
        <v>42</v>
      </c>
      <c r="W107" s="4">
        <v>60</v>
      </c>
    </row>
    <row r="108" spans="1:23" ht="11.25" customHeight="1" x14ac:dyDescent="0.3">
      <c r="A108" s="4" t="s">
        <v>21</v>
      </c>
      <c r="B108" s="4" t="s">
        <v>22</v>
      </c>
      <c r="C108" s="4" t="s">
        <v>23</v>
      </c>
      <c r="D108" s="4" t="s">
        <v>24</v>
      </c>
      <c r="E108" s="4" t="s">
        <v>29</v>
      </c>
      <c r="F108" s="4" t="s">
        <v>25</v>
      </c>
      <c r="G108" s="4" t="s">
        <v>25</v>
      </c>
      <c r="H108" s="4" t="s">
        <v>25</v>
      </c>
      <c r="I108" s="5">
        <v>44562</v>
      </c>
      <c r="J108" s="6">
        <v>0</v>
      </c>
      <c r="K108" s="6">
        <v>0</v>
      </c>
      <c r="L108" s="6">
        <v>0.29799999999999999</v>
      </c>
      <c r="M108" s="6">
        <v>0.29799999999999999</v>
      </c>
      <c r="N108" s="6">
        <v>0.29799999999999999</v>
      </c>
      <c r="O108" s="6">
        <v>0.29799999999999999</v>
      </c>
      <c r="P108" s="6">
        <v>1</v>
      </c>
      <c r="Q108" s="4" t="s">
        <v>26</v>
      </c>
      <c r="R108" s="4">
        <v>0</v>
      </c>
      <c r="S108" s="4" t="s">
        <v>189</v>
      </c>
      <c r="T108" s="4" t="s">
        <v>312</v>
      </c>
      <c r="U108" s="4">
        <v>0</v>
      </c>
      <c r="V108" s="4">
        <v>42</v>
      </c>
      <c r="W108" s="4">
        <v>60</v>
      </c>
    </row>
    <row r="109" spans="1:23" ht="11.25" customHeight="1" x14ac:dyDescent="0.3">
      <c r="A109" s="4" t="s">
        <v>21</v>
      </c>
      <c r="B109" s="4" t="s">
        <v>22</v>
      </c>
      <c r="C109" s="4" t="s">
        <v>23</v>
      </c>
      <c r="D109" s="4" t="s">
        <v>24</v>
      </c>
      <c r="E109" s="4" t="s">
        <v>29</v>
      </c>
      <c r="F109" s="4" t="s">
        <v>25</v>
      </c>
      <c r="G109" s="4" t="s">
        <v>25</v>
      </c>
      <c r="H109" s="4" t="s">
        <v>25</v>
      </c>
      <c r="I109" s="5">
        <v>44593</v>
      </c>
      <c r="J109" s="6">
        <v>0</v>
      </c>
      <c r="K109" s="6">
        <v>0</v>
      </c>
      <c r="L109" s="6">
        <v>0.56499999999999995</v>
      </c>
      <c r="M109" s="6">
        <v>0.56499999999999995</v>
      </c>
      <c r="N109" s="6">
        <v>0.56499999999999995</v>
      </c>
      <c r="O109" s="6">
        <v>0.56499999999999995</v>
      </c>
      <c r="P109" s="6">
        <v>4</v>
      </c>
      <c r="Q109" s="4" t="s">
        <v>26</v>
      </c>
      <c r="R109" s="4">
        <v>0</v>
      </c>
      <c r="S109" s="4" t="s">
        <v>190</v>
      </c>
      <c r="T109" s="4" t="s">
        <v>313</v>
      </c>
      <c r="U109" s="4">
        <v>0</v>
      </c>
      <c r="V109" s="4">
        <v>42</v>
      </c>
      <c r="W109" s="4">
        <v>60</v>
      </c>
    </row>
    <row r="110" spans="1:23" ht="11.25" customHeight="1" x14ac:dyDescent="0.3">
      <c r="A110" s="4" t="s">
        <v>21</v>
      </c>
      <c r="B110" s="4" t="s">
        <v>22</v>
      </c>
      <c r="C110" s="4" t="s">
        <v>23</v>
      </c>
      <c r="D110" s="4" t="s">
        <v>24</v>
      </c>
      <c r="E110" s="4" t="s">
        <v>29</v>
      </c>
      <c r="F110" s="4" t="s">
        <v>25</v>
      </c>
      <c r="G110" s="4" t="s">
        <v>25</v>
      </c>
      <c r="H110" s="4" t="s">
        <v>25</v>
      </c>
      <c r="I110" s="5">
        <v>44621</v>
      </c>
      <c r="J110" s="6">
        <v>0</v>
      </c>
      <c r="K110" s="6">
        <v>0</v>
      </c>
      <c r="L110" s="6">
        <v>0.77600000000000002</v>
      </c>
      <c r="M110" s="6">
        <v>0.77600000000000002</v>
      </c>
      <c r="N110" s="6">
        <v>0.77600000000000002</v>
      </c>
      <c r="O110" s="6">
        <v>0.77600000000000002</v>
      </c>
      <c r="P110" s="6">
        <v>4</v>
      </c>
      <c r="Q110" s="4" t="s">
        <v>26</v>
      </c>
      <c r="R110" s="4">
        <v>0</v>
      </c>
      <c r="S110" s="4" t="s">
        <v>191</v>
      </c>
      <c r="T110" s="4" t="s">
        <v>314</v>
      </c>
      <c r="U110" s="4">
        <v>0</v>
      </c>
      <c r="V110" s="4">
        <v>42</v>
      </c>
      <c r="W110" s="4">
        <v>60</v>
      </c>
    </row>
    <row r="111" spans="1:23" ht="11.25" customHeight="1" x14ac:dyDescent="0.3">
      <c r="A111" s="4" t="s">
        <v>21</v>
      </c>
      <c r="B111" s="4" t="s">
        <v>22</v>
      </c>
      <c r="C111" s="4" t="s">
        <v>23</v>
      </c>
      <c r="D111" s="4" t="s">
        <v>24</v>
      </c>
      <c r="E111" s="4" t="s">
        <v>29</v>
      </c>
      <c r="F111" s="4" t="s">
        <v>25</v>
      </c>
      <c r="G111" s="4" t="s">
        <v>25</v>
      </c>
      <c r="H111" s="4" t="s">
        <v>25</v>
      </c>
      <c r="I111" s="5">
        <v>44652</v>
      </c>
      <c r="J111" s="6">
        <v>0</v>
      </c>
      <c r="K111" s="6">
        <v>0</v>
      </c>
      <c r="L111" s="6">
        <v>0.66600000000000004</v>
      </c>
      <c r="M111" s="6">
        <v>0.66600000000000004</v>
      </c>
      <c r="N111" s="6">
        <v>0.66600000000000004</v>
      </c>
      <c r="O111" s="6">
        <v>0.66600000000000004</v>
      </c>
      <c r="P111" s="6">
        <v>5</v>
      </c>
      <c r="Q111" s="4" t="s">
        <v>26</v>
      </c>
      <c r="R111" s="4">
        <v>0</v>
      </c>
      <c r="S111" s="4" t="s">
        <v>192</v>
      </c>
      <c r="T111" s="4" t="s">
        <v>315</v>
      </c>
      <c r="U111" s="4">
        <v>0</v>
      </c>
      <c r="V111" s="4">
        <v>42</v>
      </c>
      <c r="W111" s="4">
        <v>60</v>
      </c>
    </row>
    <row r="112" spans="1:23" ht="11.25" customHeight="1" x14ac:dyDescent="0.3">
      <c r="A112" s="4" t="s">
        <v>21</v>
      </c>
      <c r="B112" s="4" t="s">
        <v>22</v>
      </c>
      <c r="C112" s="4" t="s">
        <v>23</v>
      </c>
      <c r="D112" s="4" t="s">
        <v>24</v>
      </c>
      <c r="E112" s="4" t="s">
        <v>29</v>
      </c>
      <c r="F112" s="4" t="s">
        <v>25</v>
      </c>
      <c r="G112" s="4" t="s">
        <v>25</v>
      </c>
      <c r="H112" s="4" t="s">
        <v>25</v>
      </c>
      <c r="I112" s="5">
        <v>44682</v>
      </c>
      <c r="J112" s="6">
        <v>0</v>
      </c>
      <c r="K112" s="6">
        <v>0</v>
      </c>
      <c r="L112" s="6">
        <v>0.71099999999999997</v>
      </c>
      <c r="M112" s="6">
        <v>0.71099999999999997</v>
      </c>
      <c r="N112" s="6">
        <v>0.71099999999999997</v>
      </c>
      <c r="O112" s="6">
        <v>0.71099999999999997</v>
      </c>
      <c r="P112" s="6">
        <v>3</v>
      </c>
      <c r="Q112" s="4" t="s">
        <v>26</v>
      </c>
      <c r="R112" s="4">
        <v>0</v>
      </c>
      <c r="S112" s="4" t="s">
        <v>193</v>
      </c>
      <c r="T112" s="4" t="s">
        <v>316</v>
      </c>
      <c r="U112" s="4">
        <v>0</v>
      </c>
      <c r="V112" s="4">
        <v>42</v>
      </c>
      <c r="W112" s="4">
        <v>60</v>
      </c>
    </row>
    <row r="113" spans="1:23" ht="11.25" customHeight="1" x14ac:dyDescent="0.3">
      <c r="A113" s="4" t="s">
        <v>21</v>
      </c>
      <c r="B113" s="4" t="s">
        <v>22</v>
      </c>
      <c r="C113" s="4" t="s">
        <v>23</v>
      </c>
      <c r="D113" s="4" t="s">
        <v>24</v>
      </c>
      <c r="E113" s="4" t="s">
        <v>29</v>
      </c>
      <c r="F113" s="4" t="s">
        <v>25</v>
      </c>
      <c r="G113" s="4" t="s">
        <v>25</v>
      </c>
      <c r="H113" s="4" t="s">
        <v>25</v>
      </c>
      <c r="I113" s="5">
        <v>44713</v>
      </c>
      <c r="J113" s="6">
        <v>0</v>
      </c>
      <c r="K113" s="6">
        <v>0</v>
      </c>
      <c r="L113" s="6">
        <v>0.69599999999999995</v>
      </c>
      <c r="M113" s="6">
        <v>0.69599999999999995</v>
      </c>
      <c r="N113" s="6">
        <v>0.69599999999999995</v>
      </c>
      <c r="O113" s="6">
        <v>0.69599999999999995</v>
      </c>
      <c r="P113" s="6">
        <v>2</v>
      </c>
      <c r="Q113" s="4" t="s">
        <v>26</v>
      </c>
      <c r="R113" s="4">
        <v>0</v>
      </c>
      <c r="S113" s="4" t="s">
        <v>194</v>
      </c>
      <c r="T113" s="4" t="s">
        <v>317</v>
      </c>
      <c r="U113" s="4">
        <v>0</v>
      </c>
      <c r="V113" s="4">
        <v>42</v>
      </c>
      <c r="W113" s="4">
        <v>60</v>
      </c>
    </row>
    <row r="114" spans="1:23" ht="11.25" customHeight="1" x14ac:dyDescent="0.3">
      <c r="A114" s="4" t="s">
        <v>21</v>
      </c>
      <c r="B114" s="4" t="s">
        <v>22</v>
      </c>
      <c r="C114" s="4" t="s">
        <v>23</v>
      </c>
      <c r="D114" s="4" t="s">
        <v>24</v>
      </c>
      <c r="E114" s="4" t="s">
        <v>29</v>
      </c>
      <c r="F114" s="4" t="s">
        <v>25</v>
      </c>
      <c r="G114" s="4" t="s">
        <v>25</v>
      </c>
      <c r="H114" s="4" t="s">
        <v>25</v>
      </c>
      <c r="I114" s="5">
        <v>44743</v>
      </c>
      <c r="J114" s="6">
        <v>0</v>
      </c>
      <c r="K114" s="6">
        <v>0</v>
      </c>
      <c r="L114" s="6">
        <v>0.7</v>
      </c>
      <c r="M114" s="6">
        <v>0.7</v>
      </c>
      <c r="N114" s="6">
        <v>0.7</v>
      </c>
      <c r="O114" s="6">
        <v>0.7</v>
      </c>
      <c r="P114" s="6">
        <v>2</v>
      </c>
      <c r="Q114" s="4" t="s">
        <v>26</v>
      </c>
      <c r="R114" s="4">
        <v>0</v>
      </c>
      <c r="S114" s="4" t="s">
        <v>195</v>
      </c>
      <c r="T114" s="4" t="s">
        <v>318</v>
      </c>
      <c r="U114" s="4">
        <v>0</v>
      </c>
      <c r="V114" s="4">
        <v>42</v>
      </c>
      <c r="W114" s="4">
        <v>60</v>
      </c>
    </row>
    <row r="115" spans="1:23" ht="11.25" customHeight="1" x14ac:dyDescent="0.3">
      <c r="A115" s="4" t="s">
        <v>21</v>
      </c>
      <c r="B115" s="4" t="s">
        <v>22</v>
      </c>
      <c r="C115" s="4" t="s">
        <v>23</v>
      </c>
      <c r="D115" s="4" t="s">
        <v>24</v>
      </c>
      <c r="E115" s="4" t="s">
        <v>29</v>
      </c>
      <c r="F115" s="4" t="s">
        <v>25</v>
      </c>
      <c r="G115" s="4" t="s">
        <v>25</v>
      </c>
      <c r="H115" s="4" t="s">
        <v>25</v>
      </c>
      <c r="I115" s="5">
        <v>44774</v>
      </c>
      <c r="J115" s="6">
        <v>0</v>
      </c>
      <c r="K115" s="6">
        <v>0</v>
      </c>
      <c r="L115" s="6">
        <v>0.72499999999999998</v>
      </c>
      <c r="M115" s="6">
        <v>0.72499999999999998</v>
      </c>
      <c r="N115" s="6">
        <v>0.72499999999999998</v>
      </c>
      <c r="O115" s="6">
        <v>0.72499999999999998</v>
      </c>
      <c r="P115" s="6">
        <v>1</v>
      </c>
      <c r="Q115" s="4" t="s">
        <v>26</v>
      </c>
      <c r="R115" s="4">
        <v>0</v>
      </c>
      <c r="S115" s="4" t="s">
        <v>196</v>
      </c>
      <c r="T115" s="4" t="s">
        <v>319</v>
      </c>
      <c r="U115" s="4">
        <v>0</v>
      </c>
      <c r="V115" s="4">
        <v>42</v>
      </c>
      <c r="W115" s="4">
        <v>60</v>
      </c>
    </row>
    <row r="116" spans="1:23" ht="11.25" customHeight="1" x14ac:dyDescent="0.3">
      <c r="A116" s="4" t="s">
        <v>21</v>
      </c>
      <c r="B116" s="4" t="s">
        <v>22</v>
      </c>
      <c r="C116" s="4" t="s">
        <v>23</v>
      </c>
      <c r="D116" s="4" t="s">
        <v>24</v>
      </c>
      <c r="E116" s="4" t="s">
        <v>30</v>
      </c>
      <c r="F116" s="4" t="s">
        <v>25</v>
      </c>
      <c r="G116" s="4" t="s">
        <v>25</v>
      </c>
      <c r="H116" s="4" t="s">
        <v>25</v>
      </c>
      <c r="I116" s="5">
        <v>44440</v>
      </c>
      <c r="J116" s="6">
        <v>0</v>
      </c>
      <c r="K116" s="6">
        <v>0</v>
      </c>
      <c r="L116" s="6">
        <v>6.0000000000000001E-3</v>
      </c>
      <c r="M116" s="6">
        <v>6.0000000000000001E-3</v>
      </c>
      <c r="N116" s="6">
        <v>6.0000000000000001E-3</v>
      </c>
      <c r="O116" s="6">
        <v>6.0000000000000001E-3</v>
      </c>
      <c r="P116" s="6">
        <v>1</v>
      </c>
      <c r="Q116" s="4" t="s">
        <v>26</v>
      </c>
      <c r="R116" s="4">
        <v>0</v>
      </c>
      <c r="S116" s="4" t="s">
        <v>197</v>
      </c>
      <c r="T116" s="4" t="s">
        <v>320</v>
      </c>
      <c r="U116" s="4">
        <v>0</v>
      </c>
      <c r="V116" s="4">
        <v>22</v>
      </c>
      <c r="W116" s="4">
        <v>61</v>
      </c>
    </row>
    <row r="117" spans="1:23" ht="11.25" customHeight="1" x14ac:dyDescent="0.3">
      <c r="A117" s="4" t="s">
        <v>21</v>
      </c>
      <c r="B117" s="4" t="s">
        <v>22</v>
      </c>
      <c r="C117" s="4" t="s">
        <v>23</v>
      </c>
      <c r="D117" s="4" t="s">
        <v>24</v>
      </c>
      <c r="E117" s="4" t="s">
        <v>30</v>
      </c>
      <c r="F117" s="4" t="s">
        <v>25</v>
      </c>
      <c r="G117" s="4" t="s">
        <v>25</v>
      </c>
      <c r="H117" s="4" t="s">
        <v>25</v>
      </c>
      <c r="I117" s="5">
        <v>44531</v>
      </c>
      <c r="J117" s="6">
        <v>0</v>
      </c>
      <c r="K117" s="6">
        <v>0</v>
      </c>
      <c r="L117" s="6">
        <v>1.2999999999999999E-2</v>
      </c>
      <c r="M117" s="6">
        <v>1.2999999999999999E-2</v>
      </c>
      <c r="N117" s="6">
        <v>1.2999999999999999E-2</v>
      </c>
      <c r="O117" s="6">
        <v>1.2999999999999999E-2</v>
      </c>
      <c r="P117" s="6">
        <v>1</v>
      </c>
      <c r="Q117" s="4" t="s">
        <v>26</v>
      </c>
      <c r="R117" s="4">
        <v>0</v>
      </c>
      <c r="S117" s="4" t="s">
        <v>198</v>
      </c>
      <c r="T117" s="4" t="s">
        <v>321</v>
      </c>
      <c r="U117" s="4">
        <v>0</v>
      </c>
      <c r="V117" s="4">
        <v>22</v>
      </c>
      <c r="W117" s="4">
        <v>61</v>
      </c>
    </row>
    <row r="118" spans="1:23" ht="11.25" customHeight="1" x14ac:dyDescent="0.3">
      <c r="A118" s="4" t="s">
        <v>21</v>
      </c>
      <c r="B118" s="4" t="s">
        <v>22</v>
      </c>
      <c r="C118" s="4" t="s">
        <v>23</v>
      </c>
      <c r="D118" s="4" t="s">
        <v>24</v>
      </c>
      <c r="E118" s="4" t="s">
        <v>30</v>
      </c>
      <c r="F118" s="4" t="s">
        <v>25</v>
      </c>
      <c r="G118" s="4" t="s">
        <v>25</v>
      </c>
      <c r="H118" s="4" t="s">
        <v>25</v>
      </c>
      <c r="I118" s="5">
        <v>44562</v>
      </c>
      <c r="J118" s="6">
        <v>0</v>
      </c>
      <c r="K118" s="6">
        <v>0</v>
      </c>
      <c r="L118" s="6">
        <v>5.6000000000000001E-2</v>
      </c>
      <c r="M118" s="6">
        <v>5.6000000000000001E-2</v>
      </c>
      <c r="N118" s="6">
        <v>5.6000000000000001E-2</v>
      </c>
      <c r="O118" s="6">
        <v>5.6000000000000001E-2</v>
      </c>
      <c r="P118" s="6">
        <v>2</v>
      </c>
      <c r="Q118" s="4" t="s">
        <v>26</v>
      </c>
      <c r="R118" s="4">
        <v>0</v>
      </c>
      <c r="S118" s="4" t="s">
        <v>199</v>
      </c>
      <c r="T118" s="4" t="s">
        <v>322</v>
      </c>
      <c r="U118" s="4">
        <v>0</v>
      </c>
      <c r="V118" s="4">
        <v>22</v>
      </c>
      <c r="W118" s="4">
        <v>61</v>
      </c>
    </row>
    <row r="119" spans="1:23" ht="11.25" customHeight="1" x14ac:dyDescent="0.3">
      <c r="A119" s="4" t="s">
        <v>21</v>
      </c>
      <c r="B119" s="4" t="s">
        <v>22</v>
      </c>
      <c r="C119" s="4" t="s">
        <v>23</v>
      </c>
      <c r="D119" s="4" t="s">
        <v>24</v>
      </c>
      <c r="E119" s="4" t="s">
        <v>30</v>
      </c>
      <c r="F119" s="4" t="s">
        <v>25</v>
      </c>
      <c r="G119" s="4" t="s">
        <v>25</v>
      </c>
      <c r="H119" s="4" t="s">
        <v>25</v>
      </c>
      <c r="I119" s="5">
        <v>44593</v>
      </c>
      <c r="J119" s="6">
        <v>0</v>
      </c>
      <c r="K119" s="6">
        <v>0</v>
      </c>
      <c r="L119" s="6">
        <v>0.249</v>
      </c>
      <c r="M119" s="6">
        <v>0.249</v>
      </c>
      <c r="N119" s="6">
        <v>0.249</v>
      </c>
      <c r="O119" s="6">
        <v>0.249</v>
      </c>
      <c r="P119" s="6">
        <v>2</v>
      </c>
      <c r="Q119" s="4" t="s">
        <v>26</v>
      </c>
      <c r="R119" s="4">
        <v>0</v>
      </c>
      <c r="S119" s="4" t="s">
        <v>200</v>
      </c>
      <c r="T119" s="4" t="s">
        <v>323</v>
      </c>
      <c r="U119" s="4">
        <v>0</v>
      </c>
      <c r="V119" s="4">
        <v>22</v>
      </c>
      <c r="W119" s="4">
        <v>61</v>
      </c>
    </row>
    <row r="120" spans="1:23" ht="11.25" customHeight="1" x14ac:dyDescent="0.3">
      <c r="A120" s="4" t="s">
        <v>21</v>
      </c>
      <c r="B120" s="4" t="s">
        <v>22</v>
      </c>
      <c r="C120" s="4" t="s">
        <v>23</v>
      </c>
      <c r="D120" s="4" t="s">
        <v>24</v>
      </c>
      <c r="E120" s="4" t="s">
        <v>30</v>
      </c>
      <c r="F120" s="4" t="s">
        <v>25</v>
      </c>
      <c r="G120" s="4" t="s">
        <v>25</v>
      </c>
      <c r="H120" s="4" t="s">
        <v>25</v>
      </c>
      <c r="I120" s="5">
        <v>44621</v>
      </c>
      <c r="J120" s="6">
        <v>0</v>
      </c>
      <c r="K120" s="6">
        <v>0</v>
      </c>
      <c r="L120" s="6">
        <v>0.17799999999999999</v>
      </c>
      <c r="M120" s="6">
        <v>0.17799999999999999</v>
      </c>
      <c r="N120" s="6">
        <v>0.17799999999999999</v>
      </c>
      <c r="O120" s="6">
        <v>0.17799999999999999</v>
      </c>
      <c r="P120" s="6">
        <v>4</v>
      </c>
      <c r="Q120" s="4" t="s">
        <v>26</v>
      </c>
      <c r="R120" s="4">
        <v>0</v>
      </c>
      <c r="S120" s="4" t="s">
        <v>201</v>
      </c>
      <c r="T120" s="4" t="s">
        <v>324</v>
      </c>
      <c r="U120" s="4">
        <v>0</v>
      </c>
      <c r="V120" s="4">
        <v>22</v>
      </c>
      <c r="W120" s="4">
        <v>61</v>
      </c>
    </row>
    <row r="121" spans="1:23" ht="11.25" customHeight="1" x14ac:dyDescent="0.3">
      <c r="A121" s="4" t="s">
        <v>21</v>
      </c>
      <c r="B121" s="4" t="s">
        <v>22</v>
      </c>
      <c r="C121" s="4" t="s">
        <v>23</v>
      </c>
      <c r="D121" s="4" t="s">
        <v>24</v>
      </c>
      <c r="E121" s="4" t="s">
        <v>30</v>
      </c>
      <c r="F121" s="4" t="s">
        <v>25</v>
      </c>
      <c r="G121" s="4" t="s">
        <v>25</v>
      </c>
      <c r="H121" s="4" t="s">
        <v>25</v>
      </c>
      <c r="I121" s="5">
        <v>44652</v>
      </c>
      <c r="J121" s="6">
        <v>0</v>
      </c>
      <c r="K121" s="6">
        <v>0</v>
      </c>
      <c r="L121" s="6">
        <v>0.13900000000000001</v>
      </c>
      <c r="M121" s="6">
        <v>0.13900000000000001</v>
      </c>
      <c r="N121" s="6">
        <v>0.13900000000000001</v>
      </c>
      <c r="O121" s="6">
        <v>0.13900000000000001</v>
      </c>
      <c r="P121" s="6">
        <v>2</v>
      </c>
      <c r="Q121" s="4" t="s">
        <v>26</v>
      </c>
      <c r="R121" s="4">
        <v>0</v>
      </c>
      <c r="S121" s="4" t="s">
        <v>202</v>
      </c>
      <c r="T121" s="4" t="s">
        <v>325</v>
      </c>
      <c r="U121" s="4">
        <v>0</v>
      </c>
      <c r="V121" s="4">
        <v>22</v>
      </c>
      <c r="W121" s="4">
        <v>61</v>
      </c>
    </row>
    <row r="122" spans="1:23" ht="11.25" customHeight="1" x14ac:dyDescent="0.3">
      <c r="A122" s="4" t="s">
        <v>21</v>
      </c>
      <c r="B122" s="4" t="s">
        <v>22</v>
      </c>
      <c r="C122" s="4" t="s">
        <v>23</v>
      </c>
      <c r="D122" s="4" t="s">
        <v>24</v>
      </c>
      <c r="E122" s="4" t="s">
        <v>30</v>
      </c>
      <c r="F122" s="4" t="s">
        <v>25</v>
      </c>
      <c r="G122" s="4" t="s">
        <v>25</v>
      </c>
      <c r="H122" s="4" t="s">
        <v>25</v>
      </c>
      <c r="I122" s="5">
        <v>44682</v>
      </c>
      <c r="J122" s="6">
        <v>0</v>
      </c>
      <c r="K122" s="6">
        <v>0</v>
      </c>
      <c r="L122" s="6">
        <v>0.20200000000000001</v>
      </c>
      <c r="M122" s="6">
        <v>0.20200000000000001</v>
      </c>
      <c r="N122" s="6">
        <v>0.20200000000000001</v>
      </c>
      <c r="O122" s="6">
        <v>0.20200000000000001</v>
      </c>
      <c r="P122" s="6">
        <v>4</v>
      </c>
      <c r="Q122" s="4" t="s">
        <v>26</v>
      </c>
      <c r="R122" s="4">
        <v>0</v>
      </c>
      <c r="S122" s="4" t="s">
        <v>203</v>
      </c>
      <c r="T122" s="4" t="s">
        <v>326</v>
      </c>
      <c r="U122" s="4">
        <v>0</v>
      </c>
      <c r="V122" s="4">
        <v>22</v>
      </c>
      <c r="W122" s="4">
        <v>61</v>
      </c>
    </row>
    <row r="123" spans="1:23" ht="11.25" customHeight="1" x14ac:dyDescent="0.3">
      <c r="A123" s="4" t="s">
        <v>21</v>
      </c>
      <c r="B123" s="4" t="s">
        <v>22</v>
      </c>
      <c r="C123" s="4" t="s">
        <v>23</v>
      </c>
      <c r="D123" s="4" t="s">
        <v>24</v>
      </c>
      <c r="E123" s="4" t="s">
        <v>30</v>
      </c>
      <c r="F123" s="4" t="s">
        <v>25</v>
      </c>
      <c r="G123" s="4" t="s">
        <v>25</v>
      </c>
      <c r="H123" s="4" t="s">
        <v>25</v>
      </c>
      <c r="I123" s="5">
        <v>44713</v>
      </c>
      <c r="J123" s="6">
        <v>0</v>
      </c>
      <c r="K123" s="6">
        <v>0</v>
      </c>
      <c r="L123" s="6">
        <v>0.62</v>
      </c>
      <c r="M123" s="6">
        <v>0.62</v>
      </c>
      <c r="N123" s="6">
        <v>0.62</v>
      </c>
      <c r="O123" s="6">
        <v>0.62</v>
      </c>
      <c r="P123" s="6">
        <v>4</v>
      </c>
      <c r="Q123" s="4" t="s">
        <v>26</v>
      </c>
      <c r="R123" s="4">
        <v>0</v>
      </c>
      <c r="S123" s="4" t="s">
        <v>204</v>
      </c>
      <c r="T123" s="4" t="s">
        <v>327</v>
      </c>
      <c r="U123" s="4">
        <v>0</v>
      </c>
      <c r="V123" s="4">
        <v>22</v>
      </c>
      <c r="W123" s="4">
        <v>61</v>
      </c>
    </row>
    <row r="124" spans="1:23" ht="11.25" customHeight="1" x14ac:dyDescent="0.3">
      <c r="A124" s="4" t="s">
        <v>21</v>
      </c>
      <c r="B124" s="4" t="s">
        <v>22</v>
      </c>
      <c r="C124" s="4" t="s">
        <v>23</v>
      </c>
      <c r="D124" s="4" t="s">
        <v>24</v>
      </c>
      <c r="E124" s="4" t="s">
        <v>30</v>
      </c>
      <c r="F124" s="4" t="s">
        <v>25</v>
      </c>
      <c r="G124" s="4" t="s">
        <v>25</v>
      </c>
      <c r="H124" s="4" t="s">
        <v>25</v>
      </c>
      <c r="I124" s="5">
        <v>44743</v>
      </c>
      <c r="J124" s="6">
        <v>0</v>
      </c>
      <c r="K124" s="6">
        <v>0</v>
      </c>
      <c r="L124" s="6">
        <v>0.21</v>
      </c>
      <c r="M124" s="6">
        <v>0.21</v>
      </c>
      <c r="N124" s="6">
        <v>0.21</v>
      </c>
      <c r="O124" s="6">
        <v>0.21</v>
      </c>
      <c r="P124" s="6">
        <v>4</v>
      </c>
      <c r="Q124" s="4" t="s">
        <v>26</v>
      </c>
      <c r="R124" s="4">
        <v>0</v>
      </c>
      <c r="S124" s="4" t="s">
        <v>205</v>
      </c>
      <c r="T124" s="4" t="s">
        <v>328</v>
      </c>
      <c r="U124" s="4">
        <v>0</v>
      </c>
      <c r="V124" s="4">
        <v>22</v>
      </c>
      <c r="W124" s="4">
        <v>61</v>
      </c>
    </row>
    <row r="125" spans="1:23" ht="11.25" customHeight="1" x14ac:dyDescent="0.3">
      <c r="A125" s="4" t="s">
        <v>21</v>
      </c>
      <c r="B125" s="4" t="s">
        <v>22</v>
      </c>
      <c r="C125" s="4" t="s">
        <v>23</v>
      </c>
      <c r="D125" s="4" t="s">
        <v>24</v>
      </c>
      <c r="E125" s="4" t="s">
        <v>30</v>
      </c>
      <c r="F125" s="4" t="s">
        <v>25</v>
      </c>
      <c r="G125" s="4" t="s">
        <v>25</v>
      </c>
      <c r="H125" s="4" t="s">
        <v>25</v>
      </c>
      <c r="I125" s="5">
        <v>44774</v>
      </c>
      <c r="J125" s="6">
        <v>0</v>
      </c>
      <c r="K125" s="6">
        <v>0</v>
      </c>
      <c r="L125" s="6">
        <v>0.42599999999999999</v>
      </c>
      <c r="M125" s="6">
        <v>0.42599999999999999</v>
      </c>
      <c r="N125" s="6">
        <v>0.42599999999999999</v>
      </c>
      <c r="O125" s="6">
        <v>0.42599999999999999</v>
      </c>
      <c r="P125" s="6">
        <v>6</v>
      </c>
      <c r="Q125" s="4" t="s">
        <v>26</v>
      </c>
      <c r="R125" s="4">
        <v>0</v>
      </c>
      <c r="S125" s="4" t="s">
        <v>206</v>
      </c>
      <c r="T125" s="4" t="s">
        <v>329</v>
      </c>
      <c r="U125" s="4">
        <v>0</v>
      </c>
      <c r="V125" s="4">
        <v>22</v>
      </c>
      <c r="W125" s="4">
        <v>61</v>
      </c>
    </row>
    <row r="126" spans="1:23" ht="11.25" customHeight="1" x14ac:dyDescent="0.3">
      <c r="A126" s="4" t="s">
        <v>21</v>
      </c>
      <c r="B126" s="4" t="s">
        <v>39</v>
      </c>
      <c r="C126" s="4" t="s">
        <v>23</v>
      </c>
      <c r="D126" s="4" t="s">
        <v>40</v>
      </c>
      <c r="E126" s="4" t="s">
        <v>48</v>
      </c>
      <c r="F126" s="4" t="s">
        <v>49</v>
      </c>
      <c r="G126" s="4" t="s">
        <v>25</v>
      </c>
      <c r="H126" s="4" t="s">
        <v>25</v>
      </c>
      <c r="I126" s="5">
        <v>44440</v>
      </c>
      <c r="J126" s="6">
        <v>0</v>
      </c>
      <c r="K126" s="6">
        <v>0</v>
      </c>
      <c r="L126" s="6">
        <v>9.4E-2</v>
      </c>
      <c r="M126" s="6">
        <v>9.4E-2</v>
      </c>
      <c r="N126" s="6">
        <v>9.4E-2</v>
      </c>
      <c r="O126" s="6">
        <v>9.4E-2</v>
      </c>
      <c r="P126" s="6">
        <v>0</v>
      </c>
      <c r="Q126" s="4" t="s">
        <v>26</v>
      </c>
      <c r="R126" s="4">
        <v>0</v>
      </c>
      <c r="S126" s="4" t="s">
        <v>207</v>
      </c>
      <c r="T126" s="4" t="s">
        <v>330</v>
      </c>
      <c r="U126" s="4">
        <v>0</v>
      </c>
      <c r="V126" s="4">
        <v>26</v>
      </c>
      <c r="W126" s="4">
        <v>64</v>
      </c>
    </row>
    <row r="127" spans="1:23" ht="11.25" customHeight="1" x14ac:dyDescent="0.3">
      <c r="A127" s="4" t="s">
        <v>21</v>
      </c>
      <c r="B127" s="4" t="s">
        <v>39</v>
      </c>
      <c r="C127" s="4" t="s">
        <v>23</v>
      </c>
      <c r="D127" s="4" t="s">
        <v>40</v>
      </c>
      <c r="E127" s="4" t="s">
        <v>48</v>
      </c>
      <c r="F127" s="4" t="s">
        <v>49</v>
      </c>
      <c r="G127" s="4" t="s">
        <v>25</v>
      </c>
      <c r="H127" s="4" t="s">
        <v>25</v>
      </c>
      <c r="I127" s="5">
        <v>44470</v>
      </c>
      <c r="J127" s="6">
        <v>0</v>
      </c>
      <c r="K127" s="6">
        <v>0</v>
      </c>
      <c r="L127" s="6">
        <v>0.104</v>
      </c>
      <c r="M127" s="6">
        <v>0.104</v>
      </c>
      <c r="N127" s="6">
        <v>0.104</v>
      </c>
      <c r="O127" s="6">
        <v>0.104</v>
      </c>
      <c r="P127" s="6">
        <v>0</v>
      </c>
      <c r="Q127" s="4" t="s">
        <v>26</v>
      </c>
      <c r="R127" s="4">
        <v>0</v>
      </c>
      <c r="S127" s="4" t="s">
        <v>208</v>
      </c>
      <c r="T127" s="4" t="s">
        <v>331</v>
      </c>
      <c r="U127" s="4">
        <v>0</v>
      </c>
      <c r="V127" s="4">
        <v>26</v>
      </c>
      <c r="W127" s="4">
        <v>64</v>
      </c>
    </row>
    <row r="128" spans="1:23" ht="11.25" customHeight="1" x14ac:dyDescent="0.3">
      <c r="A128" s="4" t="s">
        <v>21</v>
      </c>
      <c r="B128" s="4" t="s">
        <v>39</v>
      </c>
      <c r="C128" s="4" t="s">
        <v>23</v>
      </c>
      <c r="D128" s="4" t="s">
        <v>40</v>
      </c>
      <c r="E128" s="4" t="s">
        <v>48</v>
      </c>
      <c r="F128" s="4" t="s">
        <v>49</v>
      </c>
      <c r="G128" s="4" t="s">
        <v>25</v>
      </c>
      <c r="H128" s="4" t="s">
        <v>25</v>
      </c>
      <c r="I128" s="5">
        <v>44501</v>
      </c>
      <c r="J128" s="6">
        <v>0</v>
      </c>
      <c r="K128" s="6">
        <v>0</v>
      </c>
      <c r="L128" s="6">
        <v>8.5000000000000006E-2</v>
      </c>
      <c r="M128" s="6">
        <v>8.5000000000000006E-2</v>
      </c>
      <c r="N128" s="6">
        <v>8.5000000000000006E-2</v>
      </c>
      <c r="O128" s="6">
        <v>8.5000000000000006E-2</v>
      </c>
      <c r="P128" s="6">
        <v>0</v>
      </c>
      <c r="Q128" s="4" t="s">
        <v>26</v>
      </c>
      <c r="R128" s="4">
        <v>0</v>
      </c>
      <c r="S128" s="4" t="s">
        <v>209</v>
      </c>
      <c r="T128" s="4" t="s">
        <v>332</v>
      </c>
      <c r="U128" s="4">
        <v>0</v>
      </c>
      <c r="V128" s="4">
        <v>26</v>
      </c>
      <c r="W128" s="4">
        <v>64</v>
      </c>
    </row>
    <row r="129" spans="1:23" ht="11.25" customHeight="1" x14ac:dyDescent="0.3">
      <c r="A129" s="4" t="s">
        <v>21</v>
      </c>
      <c r="B129" s="4" t="s">
        <v>39</v>
      </c>
      <c r="C129" s="4" t="s">
        <v>23</v>
      </c>
      <c r="D129" s="4" t="s">
        <v>40</v>
      </c>
      <c r="E129" s="4" t="s">
        <v>48</v>
      </c>
      <c r="F129" s="4" t="s">
        <v>49</v>
      </c>
      <c r="G129" s="4" t="s">
        <v>25</v>
      </c>
      <c r="H129" s="4" t="s">
        <v>25</v>
      </c>
      <c r="I129" s="5">
        <v>44531</v>
      </c>
      <c r="J129" s="6">
        <v>0</v>
      </c>
      <c r="K129" s="6">
        <v>0</v>
      </c>
      <c r="L129" s="6">
        <v>0.1</v>
      </c>
      <c r="M129" s="6">
        <v>0.1</v>
      </c>
      <c r="N129" s="6">
        <v>0.1</v>
      </c>
      <c r="O129" s="6">
        <v>0.1</v>
      </c>
      <c r="P129" s="6">
        <v>0</v>
      </c>
      <c r="Q129" s="4" t="s">
        <v>26</v>
      </c>
      <c r="R129" s="4">
        <v>0</v>
      </c>
      <c r="S129" s="4" t="s">
        <v>210</v>
      </c>
      <c r="T129" s="4" t="s">
        <v>333</v>
      </c>
      <c r="U129" s="4">
        <v>0</v>
      </c>
      <c r="V129" s="4">
        <v>26</v>
      </c>
      <c r="W129" s="4">
        <v>64</v>
      </c>
    </row>
    <row r="130" spans="1:23" ht="11.25" customHeight="1" x14ac:dyDescent="0.3">
      <c r="A130" s="4" t="s">
        <v>21</v>
      </c>
      <c r="B130" s="4" t="s">
        <v>39</v>
      </c>
      <c r="C130" s="4" t="s">
        <v>23</v>
      </c>
      <c r="D130" s="4" t="s">
        <v>40</v>
      </c>
      <c r="E130" s="4" t="s">
        <v>48</v>
      </c>
      <c r="F130" s="4" t="s">
        <v>49</v>
      </c>
      <c r="G130" s="4" t="s">
        <v>25</v>
      </c>
      <c r="H130" s="4" t="s">
        <v>25</v>
      </c>
      <c r="I130" s="5">
        <v>44562</v>
      </c>
      <c r="J130" s="6">
        <v>0</v>
      </c>
      <c r="K130" s="6">
        <v>0</v>
      </c>
      <c r="L130" s="6">
        <v>0.1</v>
      </c>
      <c r="M130" s="6">
        <v>0.1</v>
      </c>
      <c r="N130" s="6">
        <v>0.1</v>
      </c>
      <c r="O130" s="6">
        <v>0.1</v>
      </c>
      <c r="P130" s="6">
        <v>0</v>
      </c>
      <c r="Q130" s="4" t="s">
        <v>26</v>
      </c>
      <c r="R130" s="4">
        <v>0</v>
      </c>
      <c r="S130" s="4" t="s">
        <v>211</v>
      </c>
      <c r="T130" s="4" t="s">
        <v>334</v>
      </c>
      <c r="U130" s="4">
        <v>0</v>
      </c>
      <c r="V130" s="4">
        <v>26</v>
      </c>
      <c r="W130" s="4">
        <v>64</v>
      </c>
    </row>
    <row r="131" spans="1:23" ht="11.25" customHeight="1" x14ac:dyDescent="0.3">
      <c r="A131" s="4" t="s">
        <v>21</v>
      </c>
      <c r="B131" s="4" t="s">
        <v>39</v>
      </c>
      <c r="C131" s="4" t="s">
        <v>23</v>
      </c>
      <c r="D131" s="4" t="s">
        <v>40</v>
      </c>
      <c r="E131" s="4" t="s">
        <v>48</v>
      </c>
      <c r="F131" s="4" t="s">
        <v>49</v>
      </c>
      <c r="G131" s="4" t="s">
        <v>25</v>
      </c>
      <c r="H131" s="4" t="s">
        <v>25</v>
      </c>
      <c r="I131" s="5">
        <v>44593</v>
      </c>
      <c r="J131" s="6">
        <v>0</v>
      </c>
      <c r="K131" s="6">
        <v>0</v>
      </c>
      <c r="L131" s="6">
        <v>9.5000000000000001E-2</v>
      </c>
      <c r="M131" s="6">
        <v>9.5000000000000001E-2</v>
      </c>
      <c r="N131" s="6">
        <v>9.5000000000000001E-2</v>
      </c>
      <c r="O131" s="6">
        <v>9.5000000000000001E-2</v>
      </c>
      <c r="P131" s="6">
        <v>0</v>
      </c>
      <c r="Q131" s="4" t="s">
        <v>26</v>
      </c>
      <c r="R131" s="4">
        <v>0</v>
      </c>
      <c r="S131" s="4" t="s">
        <v>212</v>
      </c>
      <c r="T131" s="4" t="s">
        <v>335</v>
      </c>
      <c r="U131" s="4">
        <v>0</v>
      </c>
      <c r="V131" s="4">
        <v>26</v>
      </c>
      <c r="W131" s="4">
        <v>64</v>
      </c>
    </row>
    <row r="132" spans="1:23" ht="11.25" customHeight="1" x14ac:dyDescent="0.3">
      <c r="A132" s="4" t="s">
        <v>21</v>
      </c>
      <c r="B132" s="4" t="s">
        <v>39</v>
      </c>
      <c r="C132" s="4" t="s">
        <v>23</v>
      </c>
      <c r="D132" s="4" t="s">
        <v>40</v>
      </c>
      <c r="E132" s="4" t="s">
        <v>48</v>
      </c>
      <c r="F132" s="4" t="s">
        <v>49</v>
      </c>
      <c r="G132" s="4" t="s">
        <v>25</v>
      </c>
      <c r="H132" s="4" t="s">
        <v>25</v>
      </c>
      <c r="I132" s="5">
        <v>44621</v>
      </c>
      <c r="J132" s="6">
        <v>0</v>
      </c>
      <c r="K132" s="6">
        <v>0</v>
      </c>
      <c r="L132" s="6">
        <v>9.7000000000000003E-2</v>
      </c>
      <c r="M132" s="6">
        <v>9.7000000000000003E-2</v>
      </c>
      <c r="N132" s="6">
        <v>9.7000000000000003E-2</v>
      </c>
      <c r="O132" s="6">
        <v>9.7000000000000003E-2</v>
      </c>
      <c r="P132" s="6">
        <v>0</v>
      </c>
      <c r="Q132" s="4" t="s">
        <v>26</v>
      </c>
      <c r="R132" s="4">
        <v>0</v>
      </c>
      <c r="S132" s="4" t="s">
        <v>213</v>
      </c>
      <c r="T132" s="4" t="s">
        <v>336</v>
      </c>
      <c r="U132" s="4">
        <v>0</v>
      </c>
      <c r="V132" s="4">
        <v>26</v>
      </c>
      <c r="W132" s="4">
        <v>64</v>
      </c>
    </row>
    <row r="133" spans="1:23" ht="11.25" customHeight="1" x14ac:dyDescent="0.3">
      <c r="A133" s="4" t="s">
        <v>21</v>
      </c>
      <c r="B133" s="4" t="s">
        <v>39</v>
      </c>
      <c r="C133" s="4" t="s">
        <v>23</v>
      </c>
      <c r="D133" s="4" t="s">
        <v>40</v>
      </c>
      <c r="E133" s="4" t="s">
        <v>48</v>
      </c>
      <c r="F133" s="4" t="s">
        <v>49</v>
      </c>
      <c r="G133" s="4" t="s">
        <v>25</v>
      </c>
      <c r="H133" s="4" t="s">
        <v>25</v>
      </c>
      <c r="I133" s="5">
        <v>44652</v>
      </c>
      <c r="J133" s="6">
        <v>0</v>
      </c>
      <c r="K133" s="6">
        <v>0</v>
      </c>
      <c r="L133" s="6">
        <v>9.6000000000000002E-2</v>
      </c>
      <c r="M133" s="6">
        <v>9.6000000000000002E-2</v>
      </c>
      <c r="N133" s="6">
        <v>9.6000000000000002E-2</v>
      </c>
      <c r="O133" s="6">
        <v>9.6000000000000002E-2</v>
      </c>
      <c r="P133" s="6">
        <v>0</v>
      </c>
      <c r="Q133" s="4" t="s">
        <v>26</v>
      </c>
      <c r="R133" s="4">
        <v>0</v>
      </c>
      <c r="S133" s="4" t="s">
        <v>214</v>
      </c>
      <c r="T133" s="4" t="s">
        <v>337</v>
      </c>
      <c r="U133" s="4">
        <v>0</v>
      </c>
      <c r="V133" s="4">
        <v>26</v>
      </c>
      <c r="W133" s="4">
        <v>64</v>
      </c>
    </row>
    <row r="134" spans="1:23" ht="11.25" customHeight="1" x14ac:dyDescent="0.3">
      <c r="A134" s="4" t="s">
        <v>21</v>
      </c>
      <c r="B134" s="4" t="s">
        <v>39</v>
      </c>
      <c r="C134" s="4" t="s">
        <v>23</v>
      </c>
      <c r="D134" s="4" t="s">
        <v>40</v>
      </c>
      <c r="E134" s="4" t="s">
        <v>48</v>
      </c>
      <c r="F134" s="4" t="s">
        <v>49</v>
      </c>
      <c r="G134" s="4" t="s">
        <v>25</v>
      </c>
      <c r="H134" s="4" t="s">
        <v>25</v>
      </c>
      <c r="I134" s="5">
        <v>44682</v>
      </c>
      <c r="J134" s="6">
        <v>0</v>
      </c>
      <c r="K134" s="6">
        <v>0</v>
      </c>
      <c r="L134" s="6">
        <v>0.1</v>
      </c>
      <c r="M134" s="6">
        <v>0.1</v>
      </c>
      <c r="N134" s="6">
        <v>0.1</v>
      </c>
      <c r="O134" s="6">
        <v>0.1</v>
      </c>
      <c r="P134" s="6">
        <v>0</v>
      </c>
      <c r="Q134" s="4" t="s">
        <v>26</v>
      </c>
      <c r="R134" s="4">
        <v>0</v>
      </c>
      <c r="S134" s="4" t="s">
        <v>215</v>
      </c>
      <c r="T134" s="4" t="s">
        <v>338</v>
      </c>
      <c r="U134" s="4">
        <v>0</v>
      </c>
      <c r="V134" s="4">
        <v>26</v>
      </c>
      <c r="W134" s="4">
        <v>64</v>
      </c>
    </row>
    <row r="135" spans="1:23" ht="11.25" customHeight="1" x14ac:dyDescent="0.3">
      <c r="A135" s="4" t="s">
        <v>21</v>
      </c>
      <c r="B135" s="4" t="s">
        <v>39</v>
      </c>
      <c r="C135" s="4" t="s">
        <v>23</v>
      </c>
      <c r="D135" s="4" t="s">
        <v>40</v>
      </c>
      <c r="E135" s="4" t="s">
        <v>48</v>
      </c>
      <c r="F135" s="4" t="s">
        <v>50</v>
      </c>
      <c r="G135" s="4" t="s">
        <v>25</v>
      </c>
      <c r="H135" s="4" t="s">
        <v>25</v>
      </c>
      <c r="I135" s="5">
        <v>44440</v>
      </c>
      <c r="J135" s="6">
        <v>0</v>
      </c>
      <c r="K135" s="6">
        <v>0</v>
      </c>
      <c r="L135" s="6">
        <v>6.0000000000000001E-3</v>
      </c>
      <c r="M135" s="6">
        <v>2.3999999999999998E-3</v>
      </c>
      <c r="N135" s="6">
        <v>6.0000000000000001E-3</v>
      </c>
      <c r="O135" s="6">
        <v>2.3999999999999998E-3</v>
      </c>
      <c r="P135" s="6">
        <v>0</v>
      </c>
      <c r="Q135" s="4" t="s">
        <v>26</v>
      </c>
      <c r="R135" s="4">
        <v>0</v>
      </c>
      <c r="S135" s="4" t="s">
        <v>207</v>
      </c>
      <c r="T135" s="4" t="s">
        <v>330</v>
      </c>
      <c r="U135" s="4">
        <v>0</v>
      </c>
      <c r="V135" s="4">
        <v>26</v>
      </c>
      <c r="W135" s="4">
        <v>64</v>
      </c>
    </row>
    <row r="136" spans="1:23" ht="11.25" customHeight="1" x14ac:dyDescent="0.3">
      <c r="A136" s="4" t="s">
        <v>21</v>
      </c>
      <c r="B136" s="4" t="s">
        <v>39</v>
      </c>
      <c r="C136" s="4" t="s">
        <v>23</v>
      </c>
      <c r="D136" s="4" t="s">
        <v>40</v>
      </c>
      <c r="E136" s="4" t="s">
        <v>48</v>
      </c>
      <c r="F136" s="4" t="s">
        <v>50</v>
      </c>
      <c r="G136" s="4" t="s">
        <v>25</v>
      </c>
      <c r="H136" s="4" t="s">
        <v>25</v>
      </c>
      <c r="I136" s="5">
        <v>44470</v>
      </c>
      <c r="J136" s="6">
        <v>0</v>
      </c>
      <c r="K136" s="6">
        <v>0</v>
      </c>
      <c r="L136" s="6">
        <v>1.4999999999999999E-2</v>
      </c>
      <c r="M136" s="6">
        <v>6.0000000000000001E-3</v>
      </c>
      <c r="N136" s="6">
        <v>1.4999999999999999E-2</v>
      </c>
      <c r="O136" s="6">
        <v>6.0000000000000001E-3</v>
      </c>
      <c r="P136" s="6">
        <v>0</v>
      </c>
      <c r="Q136" s="4" t="s">
        <v>26</v>
      </c>
      <c r="R136" s="4">
        <v>0</v>
      </c>
      <c r="S136" s="4" t="s">
        <v>208</v>
      </c>
      <c r="T136" s="4" t="s">
        <v>331</v>
      </c>
      <c r="U136" s="4">
        <v>0</v>
      </c>
      <c r="V136" s="4">
        <v>26</v>
      </c>
      <c r="W136" s="4">
        <v>64</v>
      </c>
    </row>
    <row r="137" spans="1:23" ht="11.25" customHeight="1" x14ac:dyDescent="0.3">
      <c r="A137" s="4" t="s">
        <v>21</v>
      </c>
      <c r="B137" s="4" t="s">
        <v>39</v>
      </c>
      <c r="C137" s="4" t="s">
        <v>23</v>
      </c>
      <c r="D137" s="4" t="s">
        <v>40</v>
      </c>
      <c r="E137" s="4" t="s">
        <v>48</v>
      </c>
      <c r="F137" s="4" t="s">
        <v>50</v>
      </c>
      <c r="G137" s="4" t="s">
        <v>25</v>
      </c>
      <c r="H137" s="4" t="s">
        <v>25</v>
      </c>
      <c r="I137" s="5">
        <v>44501</v>
      </c>
      <c r="J137" s="6">
        <v>0</v>
      </c>
      <c r="K137" s="6">
        <v>0</v>
      </c>
      <c r="L137" s="6">
        <v>1.4999999999999999E-2</v>
      </c>
      <c r="M137" s="6">
        <v>6.0000000000000001E-3</v>
      </c>
      <c r="N137" s="6">
        <v>1.4999999999999999E-2</v>
      </c>
      <c r="O137" s="6">
        <v>6.0000000000000001E-3</v>
      </c>
      <c r="P137" s="6">
        <v>0</v>
      </c>
      <c r="Q137" s="4" t="s">
        <v>26</v>
      </c>
      <c r="R137" s="4">
        <v>0</v>
      </c>
      <c r="S137" s="4" t="s">
        <v>209</v>
      </c>
      <c r="T137" s="4" t="s">
        <v>332</v>
      </c>
      <c r="U137" s="4">
        <v>0</v>
      </c>
      <c r="V137" s="4">
        <v>26</v>
      </c>
      <c r="W137" s="4">
        <v>64</v>
      </c>
    </row>
    <row r="138" spans="1:23" ht="11.25" customHeight="1" x14ac:dyDescent="0.3">
      <c r="A138" s="4" t="s">
        <v>21</v>
      </c>
      <c r="B138" s="4" t="s">
        <v>39</v>
      </c>
      <c r="C138" s="4" t="s">
        <v>23</v>
      </c>
      <c r="D138" s="4" t="s">
        <v>40</v>
      </c>
      <c r="E138" s="4" t="s">
        <v>48</v>
      </c>
      <c r="F138" s="4" t="s">
        <v>50</v>
      </c>
      <c r="G138" s="4" t="s">
        <v>25</v>
      </c>
      <c r="H138" s="4" t="s">
        <v>25</v>
      </c>
      <c r="I138" s="5">
        <v>44593</v>
      </c>
      <c r="J138" s="6">
        <v>0</v>
      </c>
      <c r="K138" s="6">
        <v>0</v>
      </c>
      <c r="L138" s="6">
        <v>5.0000000000000001E-3</v>
      </c>
      <c r="M138" s="6">
        <v>2E-3</v>
      </c>
      <c r="N138" s="6">
        <v>5.0000000000000001E-3</v>
      </c>
      <c r="O138" s="6">
        <v>2E-3</v>
      </c>
      <c r="P138" s="6">
        <v>0</v>
      </c>
      <c r="Q138" s="4" t="s">
        <v>26</v>
      </c>
      <c r="R138" s="4">
        <v>0</v>
      </c>
      <c r="S138" s="4" t="s">
        <v>212</v>
      </c>
      <c r="T138" s="4" t="s">
        <v>335</v>
      </c>
      <c r="U138" s="4">
        <v>0</v>
      </c>
      <c r="V138" s="4">
        <v>26</v>
      </c>
      <c r="W138" s="4">
        <v>64</v>
      </c>
    </row>
    <row r="139" spans="1:23" ht="11.25" customHeight="1" x14ac:dyDescent="0.3">
      <c r="A139" s="4" t="s">
        <v>21</v>
      </c>
      <c r="B139" s="4" t="s">
        <v>39</v>
      </c>
      <c r="C139" s="4" t="s">
        <v>23</v>
      </c>
      <c r="D139" s="4" t="s">
        <v>40</v>
      </c>
      <c r="E139" s="4" t="s">
        <v>48</v>
      </c>
      <c r="F139" s="4" t="s">
        <v>50</v>
      </c>
      <c r="G139" s="4" t="s">
        <v>25</v>
      </c>
      <c r="H139" s="4" t="s">
        <v>25</v>
      </c>
      <c r="I139" s="5">
        <v>44621</v>
      </c>
      <c r="J139" s="6">
        <v>0</v>
      </c>
      <c r="K139" s="6">
        <v>0</v>
      </c>
      <c r="L139" s="6">
        <v>3.0000000000000001E-3</v>
      </c>
      <c r="M139" s="6">
        <v>1.1999999999999999E-3</v>
      </c>
      <c r="N139" s="6">
        <v>3.0000000000000001E-3</v>
      </c>
      <c r="O139" s="6">
        <v>1.1999999999999999E-3</v>
      </c>
      <c r="P139" s="6">
        <v>0</v>
      </c>
      <c r="Q139" s="4" t="s">
        <v>26</v>
      </c>
      <c r="R139" s="4">
        <v>0</v>
      </c>
      <c r="S139" s="4" t="s">
        <v>213</v>
      </c>
      <c r="T139" s="4" t="s">
        <v>336</v>
      </c>
      <c r="U139" s="4">
        <v>0</v>
      </c>
      <c r="V139" s="4">
        <v>26</v>
      </c>
      <c r="W139" s="4">
        <v>64</v>
      </c>
    </row>
    <row r="140" spans="1:23" ht="11.25" customHeight="1" x14ac:dyDescent="0.3">
      <c r="A140" s="4" t="s">
        <v>21</v>
      </c>
      <c r="B140" s="4" t="s">
        <v>39</v>
      </c>
      <c r="C140" s="4" t="s">
        <v>23</v>
      </c>
      <c r="D140" s="4" t="s">
        <v>40</v>
      </c>
      <c r="E140" s="4" t="s">
        <v>48</v>
      </c>
      <c r="F140" s="4" t="s">
        <v>50</v>
      </c>
      <c r="G140" s="4" t="s">
        <v>25</v>
      </c>
      <c r="H140" s="4" t="s">
        <v>25</v>
      </c>
      <c r="I140" s="5">
        <v>44652</v>
      </c>
      <c r="J140" s="6">
        <v>0</v>
      </c>
      <c r="K140" s="6">
        <v>0</v>
      </c>
      <c r="L140" s="6">
        <v>4.0000000000000001E-3</v>
      </c>
      <c r="M140" s="6">
        <v>1.6000000000000001E-3</v>
      </c>
      <c r="N140" s="6">
        <v>4.0000000000000001E-3</v>
      </c>
      <c r="O140" s="6">
        <v>1.6000000000000001E-3</v>
      </c>
      <c r="P140" s="6">
        <v>0</v>
      </c>
      <c r="Q140" s="4" t="s">
        <v>26</v>
      </c>
      <c r="R140" s="4">
        <v>0</v>
      </c>
      <c r="S140" s="4" t="s">
        <v>214</v>
      </c>
      <c r="T140" s="4" t="s">
        <v>337</v>
      </c>
      <c r="U140" s="4">
        <v>0</v>
      </c>
      <c r="V140" s="4">
        <v>26</v>
      </c>
      <c r="W140" s="4">
        <v>64</v>
      </c>
    </row>
    <row r="141" spans="1:23" ht="11.25" customHeight="1" x14ac:dyDescent="0.3">
      <c r="A141" s="4" t="s">
        <v>21</v>
      </c>
      <c r="B141" s="4" t="s">
        <v>39</v>
      </c>
      <c r="C141" s="4" t="s">
        <v>23</v>
      </c>
      <c r="D141" s="4" t="s">
        <v>40</v>
      </c>
      <c r="E141" s="4" t="s">
        <v>25</v>
      </c>
      <c r="F141" s="4" t="s">
        <v>25</v>
      </c>
      <c r="G141" s="4" t="s">
        <v>25</v>
      </c>
      <c r="H141" s="4" t="s">
        <v>25</v>
      </c>
      <c r="I141" s="5">
        <v>44440</v>
      </c>
      <c r="J141" s="6">
        <v>0</v>
      </c>
      <c r="K141" s="6">
        <v>0</v>
      </c>
      <c r="L141" s="6">
        <v>428.94200000000001</v>
      </c>
      <c r="M141" s="6">
        <v>428.94200000000001</v>
      </c>
      <c r="N141" s="6">
        <v>428.94200000000001</v>
      </c>
      <c r="O141" s="6">
        <v>428.94200000000001</v>
      </c>
      <c r="P141" s="6">
        <v>945</v>
      </c>
      <c r="Q141" s="4" t="s">
        <v>26</v>
      </c>
      <c r="R141" s="4">
        <v>0</v>
      </c>
      <c r="S141" s="4" t="s">
        <v>207</v>
      </c>
      <c r="T141" s="4" t="s">
        <v>330</v>
      </c>
      <c r="U141" s="4">
        <v>0</v>
      </c>
      <c r="V141" s="4">
        <v>33</v>
      </c>
      <c r="W141" s="4">
        <v>64</v>
      </c>
    </row>
    <row r="142" spans="1:23" ht="11.25" customHeight="1" x14ac:dyDescent="0.3">
      <c r="A142" s="4" t="s">
        <v>41</v>
      </c>
      <c r="B142" s="4" t="s">
        <v>39</v>
      </c>
      <c r="C142" s="4" t="s">
        <v>23</v>
      </c>
      <c r="D142" s="4" t="s">
        <v>40</v>
      </c>
      <c r="E142" s="4" t="s">
        <v>25</v>
      </c>
      <c r="F142" s="4" t="s">
        <v>25</v>
      </c>
      <c r="G142" s="4" t="s">
        <v>25</v>
      </c>
      <c r="H142" s="4" t="s">
        <v>25</v>
      </c>
      <c r="I142" s="5">
        <v>44440</v>
      </c>
      <c r="J142" s="6">
        <v>0</v>
      </c>
      <c r="K142" s="6">
        <v>0</v>
      </c>
      <c r="L142" s="6">
        <v>23.366</v>
      </c>
      <c r="M142" s="6">
        <v>23.366</v>
      </c>
      <c r="N142" s="6">
        <v>23.366</v>
      </c>
      <c r="O142" s="6">
        <v>23.366</v>
      </c>
      <c r="P142" s="6">
        <v>15</v>
      </c>
      <c r="Q142" s="4" t="s">
        <v>26</v>
      </c>
      <c r="R142" s="4">
        <v>0</v>
      </c>
      <c r="S142" s="4" t="s">
        <v>207</v>
      </c>
      <c r="T142" s="4" t="s">
        <v>330</v>
      </c>
      <c r="U142" s="4">
        <v>0</v>
      </c>
      <c r="V142" s="4">
        <v>33</v>
      </c>
      <c r="W142" s="4">
        <v>64</v>
      </c>
    </row>
    <row r="143" spans="1:23" ht="11.25" customHeight="1" x14ac:dyDescent="0.3">
      <c r="A143" s="4" t="s">
        <v>21</v>
      </c>
      <c r="B143" s="4" t="s">
        <v>39</v>
      </c>
      <c r="C143" s="4" t="s">
        <v>23</v>
      </c>
      <c r="D143" s="4" t="s">
        <v>40</v>
      </c>
      <c r="E143" s="4" t="s">
        <v>25</v>
      </c>
      <c r="F143" s="4" t="s">
        <v>25</v>
      </c>
      <c r="G143" s="4" t="s">
        <v>25</v>
      </c>
      <c r="H143" s="4" t="s">
        <v>25</v>
      </c>
      <c r="I143" s="5">
        <v>44470</v>
      </c>
      <c r="J143" s="6">
        <v>0</v>
      </c>
      <c r="K143" s="6">
        <v>0</v>
      </c>
      <c r="L143" s="6">
        <v>443.80099999999999</v>
      </c>
      <c r="M143" s="6">
        <v>443.80099999999999</v>
      </c>
      <c r="N143" s="6">
        <v>443.80099999999999</v>
      </c>
      <c r="O143" s="6">
        <v>443.80099999999999</v>
      </c>
      <c r="P143" s="6">
        <v>949</v>
      </c>
      <c r="Q143" s="4" t="s">
        <v>26</v>
      </c>
      <c r="R143" s="4">
        <v>0</v>
      </c>
      <c r="S143" s="4" t="s">
        <v>208</v>
      </c>
      <c r="T143" s="4" t="s">
        <v>331</v>
      </c>
      <c r="U143" s="4">
        <v>0</v>
      </c>
      <c r="V143" s="4">
        <v>33</v>
      </c>
      <c r="W143" s="4">
        <v>64</v>
      </c>
    </row>
    <row r="144" spans="1:23" ht="11.25" customHeight="1" x14ac:dyDescent="0.3">
      <c r="A144" s="4" t="s">
        <v>51</v>
      </c>
      <c r="B144" s="4" t="s">
        <v>39</v>
      </c>
      <c r="C144" s="4" t="s">
        <v>23</v>
      </c>
      <c r="D144" s="4" t="s">
        <v>40</v>
      </c>
      <c r="E144" s="4" t="s">
        <v>25</v>
      </c>
      <c r="F144" s="4" t="s">
        <v>25</v>
      </c>
      <c r="G144" s="4" t="s">
        <v>25</v>
      </c>
      <c r="H144" s="4" t="s">
        <v>25</v>
      </c>
      <c r="I144" s="5">
        <v>44470</v>
      </c>
      <c r="J144" s="6">
        <v>0</v>
      </c>
      <c r="K144" s="6">
        <v>0</v>
      </c>
      <c r="L144" s="6">
        <v>-0.745</v>
      </c>
      <c r="M144" s="6">
        <v>-0.745</v>
      </c>
      <c r="N144" s="6">
        <v>-0.745</v>
      </c>
      <c r="O144" s="6">
        <v>-0.745</v>
      </c>
      <c r="P144" s="6">
        <v>0</v>
      </c>
      <c r="Q144" s="4" t="s">
        <v>26</v>
      </c>
      <c r="R144" s="4">
        <v>0</v>
      </c>
      <c r="S144" s="4" t="s">
        <v>208</v>
      </c>
      <c r="T144" s="4" t="s">
        <v>331</v>
      </c>
      <c r="U144" s="4">
        <v>0</v>
      </c>
      <c r="V144" s="4">
        <v>33</v>
      </c>
      <c r="W144" s="4">
        <v>64</v>
      </c>
    </row>
    <row r="145" spans="1:23" ht="11.25" customHeight="1" x14ac:dyDescent="0.3">
      <c r="A145" s="4" t="s">
        <v>41</v>
      </c>
      <c r="B145" s="4" t="s">
        <v>39</v>
      </c>
      <c r="C145" s="4" t="s">
        <v>23</v>
      </c>
      <c r="D145" s="4" t="s">
        <v>40</v>
      </c>
      <c r="E145" s="4" t="s">
        <v>25</v>
      </c>
      <c r="F145" s="4" t="s">
        <v>25</v>
      </c>
      <c r="G145" s="4" t="s">
        <v>25</v>
      </c>
      <c r="H145" s="4" t="s">
        <v>25</v>
      </c>
      <c r="I145" s="5">
        <v>44470</v>
      </c>
      <c r="J145" s="6">
        <v>0</v>
      </c>
      <c r="K145" s="6">
        <v>0</v>
      </c>
      <c r="L145" s="6">
        <v>18.138999999999999</v>
      </c>
      <c r="M145" s="6">
        <v>18.138999999999999</v>
      </c>
      <c r="N145" s="6">
        <v>18.138999999999999</v>
      </c>
      <c r="O145" s="6">
        <v>18.138999999999999</v>
      </c>
      <c r="P145" s="6">
        <v>15</v>
      </c>
      <c r="Q145" s="4" t="s">
        <v>26</v>
      </c>
      <c r="R145" s="4">
        <v>0</v>
      </c>
      <c r="S145" s="4" t="s">
        <v>208</v>
      </c>
      <c r="T145" s="4" t="s">
        <v>331</v>
      </c>
      <c r="U145" s="4">
        <v>0</v>
      </c>
      <c r="V145" s="4">
        <v>33</v>
      </c>
      <c r="W145" s="4">
        <v>64</v>
      </c>
    </row>
    <row r="146" spans="1:23" ht="11.25" customHeight="1" x14ac:dyDescent="0.3">
      <c r="A146" s="4" t="s">
        <v>21</v>
      </c>
      <c r="B146" s="4" t="s">
        <v>39</v>
      </c>
      <c r="C146" s="4" t="s">
        <v>23</v>
      </c>
      <c r="D146" s="4" t="s">
        <v>40</v>
      </c>
      <c r="E146" s="4" t="s">
        <v>25</v>
      </c>
      <c r="F146" s="4" t="s">
        <v>25</v>
      </c>
      <c r="G146" s="4" t="s">
        <v>25</v>
      </c>
      <c r="H146" s="4" t="s">
        <v>25</v>
      </c>
      <c r="I146" s="5">
        <v>44501</v>
      </c>
      <c r="J146" s="6">
        <v>0</v>
      </c>
      <c r="K146" s="6">
        <v>0</v>
      </c>
      <c r="L146" s="6">
        <v>529.39200000000005</v>
      </c>
      <c r="M146" s="6">
        <v>529.39200000000005</v>
      </c>
      <c r="N146" s="6">
        <v>529.39200000000005</v>
      </c>
      <c r="O146" s="6">
        <v>529.39200000000005</v>
      </c>
      <c r="P146" s="6">
        <v>950</v>
      </c>
      <c r="Q146" s="4" t="s">
        <v>26</v>
      </c>
      <c r="R146" s="4">
        <v>0</v>
      </c>
      <c r="S146" s="4" t="s">
        <v>209</v>
      </c>
      <c r="T146" s="4" t="s">
        <v>332</v>
      </c>
      <c r="U146" s="4">
        <v>0</v>
      </c>
      <c r="V146" s="4">
        <v>33</v>
      </c>
      <c r="W146" s="4">
        <v>64</v>
      </c>
    </row>
    <row r="147" spans="1:23" ht="11.25" customHeight="1" x14ac:dyDescent="0.3">
      <c r="A147" s="4" t="s">
        <v>41</v>
      </c>
      <c r="B147" s="4" t="s">
        <v>39</v>
      </c>
      <c r="C147" s="4" t="s">
        <v>23</v>
      </c>
      <c r="D147" s="4" t="s">
        <v>40</v>
      </c>
      <c r="E147" s="4" t="s">
        <v>25</v>
      </c>
      <c r="F147" s="4" t="s">
        <v>25</v>
      </c>
      <c r="G147" s="4" t="s">
        <v>25</v>
      </c>
      <c r="H147" s="4" t="s">
        <v>25</v>
      </c>
      <c r="I147" s="5">
        <v>44501</v>
      </c>
      <c r="J147" s="6">
        <v>0</v>
      </c>
      <c r="K147" s="6">
        <v>0</v>
      </c>
      <c r="L147" s="6">
        <v>25.25</v>
      </c>
      <c r="M147" s="6">
        <v>25.25</v>
      </c>
      <c r="N147" s="6">
        <v>25.25</v>
      </c>
      <c r="O147" s="6">
        <v>25.25</v>
      </c>
      <c r="P147" s="6">
        <v>16</v>
      </c>
      <c r="Q147" s="4" t="s">
        <v>26</v>
      </c>
      <c r="R147" s="4">
        <v>0</v>
      </c>
      <c r="S147" s="4" t="s">
        <v>209</v>
      </c>
      <c r="T147" s="4" t="s">
        <v>332</v>
      </c>
      <c r="U147" s="4">
        <v>0</v>
      </c>
      <c r="V147" s="4">
        <v>33</v>
      </c>
      <c r="W147" s="4">
        <v>64</v>
      </c>
    </row>
    <row r="148" spans="1:23" ht="11.25" customHeight="1" x14ac:dyDescent="0.3">
      <c r="A148" s="4" t="s">
        <v>21</v>
      </c>
      <c r="B148" s="4" t="s">
        <v>39</v>
      </c>
      <c r="C148" s="4" t="s">
        <v>23</v>
      </c>
      <c r="D148" s="4" t="s">
        <v>40</v>
      </c>
      <c r="E148" s="4" t="s">
        <v>25</v>
      </c>
      <c r="F148" s="4" t="s">
        <v>25</v>
      </c>
      <c r="G148" s="4" t="s">
        <v>25</v>
      </c>
      <c r="H148" s="4" t="s">
        <v>25</v>
      </c>
      <c r="I148" s="5">
        <v>44531</v>
      </c>
      <c r="J148" s="6">
        <v>0</v>
      </c>
      <c r="K148" s="6">
        <v>0</v>
      </c>
      <c r="L148" s="6">
        <v>478.95499999999998</v>
      </c>
      <c r="M148" s="6">
        <v>478.95499999999998</v>
      </c>
      <c r="N148" s="6">
        <v>478.95499999999998</v>
      </c>
      <c r="O148" s="6">
        <v>478.95499999999998</v>
      </c>
      <c r="P148" s="6">
        <v>946</v>
      </c>
      <c r="Q148" s="4" t="s">
        <v>26</v>
      </c>
      <c r="R148" s="4">
        <v>0</v>
      </c>
      <c r="S148" s="4" t="s">
        <v>210</v>
      </c>
      <c r="T148" s="4" t="s">
        <v>333</v>
      </c>
      <c r="U148" s="4">
        <v>0</v>
      </c>
      <c r="V148" s="4">
        <v>33</v>
      </c>
      <c r="W148" s="4">
        <v>64</v>
      </c>
    </row>
    <row r="149" spans="1:23" ht="11.25" customHeight="1" x14ac:dyDescent="0.3">
      <c r="A149" s="4" t="s">
        <v>41</v>
      </c>
      <c r="B149" s="4" t="s">
        <v>39</v>
      </c>
      <c r="C149" s="4" t="s">
        <v>23</v>
      </c>
      <c r="D149" s="4" t="s">
        <v>40</v>
      </c>
      <c r="E149" s="4" t="s">
        <v>25</v>
      </c>
      <c r="F149" s="4" t="s">
        <v>25</v>
      </c>
      <c r="G149" s="4" t="s">
        <v>25</v>
      </c>
      <c r="H149" s="4" t="s">
        <v>25</v>
      </c>
      <c r="I149" s="5">
        <v>44531</v>
      </c>
      <c r="J149" s="6">
        <v>0</v>
      </c>
      <c r="K149" s="6">
        <v>0</v>
      </c>
      <c r="L149" s="6">
        <v>15.506</v>
      </c>
      <c r="M149" s="6">
        <v>15.506</v>
      </c>
      <c r="N149" s="6">
        <v>15.506</v>
      </c>
      <c r="O149" s="6">
        <v>15.506</v>
      </c>
      <c r="P149" s="6">
        <v>19</v>
      </c>
      <c r="Q149" s="4" t="s">
        <v>26</v>
      </c>
      <c r="R149" s="4">
        <v>0</v>
      </c>
      <c r="S149" s="4" t="s">
        <v>210</v>
      </c>
      <c r="T149" s="4" t="s">
        <v>333</v>
      </c>
      <c r="U149" s="4">
        <v>0</v>
      </c>
      <c r="V149" s="4">
        <v>33</v>
      </c>
      <c r="W149" s="4">
        <v>64</v>
      </c>
    </row>
    <row r="150" spans="1:23" ht="11.25" customHeight="1" x14ac:dyDescent="0.3">
      <c r="A150" s="4" t="s">
        <v>21</v>
      </c>
      <c r="B150" s="4" t="s">
        <v>39</v>
      </c>
      <c r="C150" s="4" t="s">
        <v>23</v>
      </c>
      <c r="D150" s="4" t="s">
        <v>40</v>
      </c>
      <c r="E150" s="4" t="s">
        <v>25</v>
      </c>
      <c r="F150" s="4" t="s">
        <v>25</v>
      </c>
      <c r="G150" s="4" t="s">
        <v>25</v>
      </c>
      <c r="H150" s="4" t="s">
        <v>25</v>
      </c>
      <c r="I150" s="5">
        <v>44562</v>
      </c>
      <c r="J150" s="6">
        <v>0</v>
      </c>
      <c r="K150" s="6">
        <v>0</v>
      </c>
      <c r="L150" s="6">
        <v>520.29399999999998</v>
      </c>
      <c r="M150" s="6">
        <v>520.29399999999998</v>
      </c>
      <c r="N150" s="6">
        <v>520.29399999999998</v>
      </c>
      <c r="O150" s="6">
        <v>520.29399999999998</v>
      </c>
      <c r="P150" s="6">
        <v>945</v>
      </c>
      <c r="Q150" s="4" t="s">
        <v>26</v>
      </c>
      <c r="R150" s="4">
        <v>0</v>
      </c>
      <c r="S150" s="4" t="s">
        <v>211</v>
      </c>
      <c r="T150" s="4" t="s">
        <v>334</v>
      </c>
      <c r="U150" s="4">
        <v>0</v>
      </c>
      <c r="V150" s="4">
        <v>33</v>
      </c>
      <c r="W150" s="4">
        <v>64</v>
      </c>
    </row>
    <row r="151" spans="1:23" ht="11.25" customHeight="1" x14ac:dyDescent="0.3">
      <c r="A151" s="4" t="s">
        <v>41</v>
      </c>
      <c r="B151" s="4" t="s">
        <v>39</v>
      </c>
      <c r="C151" s="4" t="s">
        <v>23</v>
      </c>
      <c r="D151" s="4" t="s">
        <v>40</v>
      </c>
      <c r="E151" s="4" t="s">
        <v>25</v>
      </c>
      <c r="F151" s="4" t="s">
        <v>25</v>
      </c>
      <c r="G151" s="4" t="s">
        <v>25</v>
      </c>
      <c r="H151" s="4" t="s">
        <v>25</v>
      </c>
      <c r="I151" s="5">
        <v>44562</v>
      </c>
      <c r="J151" s="6">
        <v>0</v>
      </c>
      <c r="K151" s="6">
        <v>0</v>
      </c>
      <c r="L151" s="6">
        <v>51.01</v>
      </c>
      <c r="M151" s="6">
        <v>51.01</v>
      </c>
      <c r="N151" s="6">
        <v>51.01</v>
      </c>
      <c r="O151" s="6">
        <v>51.01</v>
      </c>
      <c r="P151" s="6">
        <v>22</v>
      </c>
      <c r="Q151" s="4" t="s">
        <v>26</v>
      </c>
      <c r="R151" s="4">
        <v>0</v>
      </c>
      <c r="S151" s="4" t="s">
        <v>211</v>
      </c>
      <c r="T151" s="4" t="s">
        <v>334</v>
      </c>
      <c r="U151" s="4">
        <v>0</v>
      </c>
      <c r="V151" s="4">
        <v>33</v>
      </c>
      <c r="W151" s="4">
        <v>64</v>
      </c>
    </row>
    <row r="152" spans="1:23" ht="11.25" customHeight="1" x14ac:dyDescent="0.3">
      <c r="A152" s="4" t="s">
        <v>21</v>
      </c>
      <c r="B152" s="4" t="s">
        <v>39</v>
      </c>
      <c r="C152" s="4" t="s">
        <v>23</v>
      </c>
      <c r="D152" s="4" t="s">
        <v>40</v>
      </c>
      <c r="E152" s="4" t="s">
        <v>25</v>
      </c>
      <c r="F152" s="4" t="s">
        <v>25</v>
      </c>
      <c r="G152" s="4" t="s">
        <v>25</v>
      </c>
      <c r="H152" s="4" t="s">
        <v>25</v>
      </c>
      <c r="I152" s="5">
        <v>44593</v>
      </c>
      <c r="J152" s="6">
        <v>0</v>
      </c>
      <c r="K152" s="6">
        <v>0</v>
      </c>
      <c r="L152" s="6">
        <v>448.75400000000002</v>
      </c>
      <c r="M152" s="6">
        <v>448.75400000000002</v>
      </c>
      <c r="N152" s="6">
        <v>448.75400000000002</v>
      </c>
      <c r="O152" s="6">
        <v>448.75400000000002</v>
      </c>
      <c r="P152" s="6">
        <v>946</v>
      </c>
      <c r="Q152" s="4" t="s">
        <v>26</v>
      </c>
      <c r="R152" s="4">
        <v>0</v>
      </c>
      <c r="S152" s="4" t="s">
        <v>212</v>
      </c>
      <c r="T152" s="4" t="s">
        <v>335</v>
      </c>
      <c r="U152" s="4">
        <v>0</v>
      </c>
      <c r="V152" s="4">
        <v>33</v>
      </c>
      <c r="W152" s="4">
        <v>64</v>
      </c>
    </row>
    <row r="153" spans="1:23" ht="11.25" customHeight="1" x14ac:dyDescent="0.3">
      <c r="A153" s="4" t="s">
        <v>41</v>
      </c>
      <c r="B153" s="4" t="s">
        <v>39</v>
      </c>
      <c r="C153" s="4" t="s">
        <v>23</v>
      </c>
      <c r="D153" s="4" t="s">
        <v>40</v>
      </c>
      <c r="E153" s="4" t="s">
        <v>25</v>
      </c>
      <c r="F153" s="4" t="s">
        <v>25</v>
      </c>
      <c r="G153" s="4" t="s">
        <v>25</v>
      </c>
      <c r="H153" s="4" t="s">
        <v>25</v>
      </c>
      <c r="I153" s="5">
        <v>44593</v>
      </c>
      <c r="J153" s="6">
        <v>0</v>
      </c>
      <c r="K153" s="6">
        <v>0</v>
      </c>
      <c r="L153" s="6">
        <v>24.344999999999999</v>
      </c>
      <c r="M153" s="6">
        <v>24.344999999999999</v>
      </c>
      <c r="N153" s="6">
        <v>24.344999999999999</v>
      </c>
      <c r="O153" s="6">
        <v>24.344999999999999</v>
      </c>
      <c r="P153" s="6">
        <v>23</v>
      </c>
      <c r="Q153" s="4" t="s">
        <v>26</v>
      </c>
      <c r="R153" s="4">
        <v>0</v>
      </c>
      <c r="S153" s="4" t="s">
        <v>212</v>
      </c>
      <c r="T153" s="4" t="s">
        <v>335</v>
      </c>
      <c r="U153" s="4">
        <v>0</v>
      </c>
      <c r="V153" s="4">
        <v>33</v>
      </c>
      <c r="W153" s="4">
        <v>64</v>
      </c>
    </row>
    <row r="154" spans="1:23" ht="11.25" customHeight="1" x14ac:dyDescent="0.3">
      <c r="A154" s="4" t="s">
        <v>21</v>
      </c>
      <c r="B154" s="4" t="s">
        <v>39</v>
      </c>
      <c r="C154" s="4" t="s">
        <v>23</v>
      </c>
      <c r="D154" s="4" t="s">
        <v>40</v>
      </c>
      <c r="E154" s="4" t="s">
        <v>25</v>
      </c>
      <c r="F154" s="4" t="s">
        <v>25</v>
      </c>
      <c r="G154" s="4" t="s">
        <v>25</v>
      </c>
      <c r="H154" s="4" t="s">
        <v>25</v>
      </c>
      <c r="I154" s="5">
        <v>44621</v>
      </c>
      <c r="J154" s="6">
        <v>0</v>
      </c>
      <c r="K154" s="6">
        <v>0</v>
      </c>
      <c r="L154" s="6">
        <v>441.31900000000002</v>
      </c>
      <c r="M154" s="6">
        <v>441.31900000000002</v>
      </c>
      <c r="N154" s="6">
        <v>441.31900000000002</v>
      </c>
      <c r="O154" s="6">
        <v>441.31900000000002</v>
      </c>
      <c r="P154" s="6">
        <v>950</v>
      </c>
      <c r="Q154" s="4" t="s">
        <v>26</v>
      </c>
      <c r="R154" s="4">
        <v>0</v>
      </c>
      <c r="S154" s="4" t="s">
        <v>213</v>
      </c>
      <c r="T154" s="4" t="s">
        <v>336</v>
      </c>
      <c r="U154" s="4">
        <v>0</v>
      </c>
      <c r="V154" s="4">
        <v>33</v>
      </c>
      <c r="W154" s="4">
        <v>64</v>
      </c>
    </row>
    <row r="155" spans="1:23" ht="11.25" customHeight="1" x14ac:dyDescent="0.3">
      <c r="A155" s="4" t="s">
        <v>41</v>
      </c>
      <c r="B155" s="4" t="s">
        <v>39</v>
      </c>
      <c r="C155" s="4" t="s">
        <v>23</v>
      </c>
      <c r="D155" s="4" t="s">
        <v>40</v>
      </c>
      <c r="E155" s="4" t="s">
        <v>25</v>
      </c>
      <c r="F155" s="4" t="s">
        <v>25</v>
      </c>
      <c r="G155" s="4" t="s">
        <v>25</v>
      </c>
      <c r="H155" s="4" t="s">
        <v>25</v>
      </c>
      <c r="I155" s="5">
        <v>44621</v>
      </c>
      <c r="J155" s="6">
        <v>0</v>
      </c>
      <c r="K155" s="6">
        <v>0</v>
      </c>
      <c r="L155" s="6">
        <v>39.655999999999999</v>
      </c>
      <c r="M155" s="6">
        <v>39.655999999999999</v>
      </c>
      <c r="N155" s="6">
        <v>39.655999999999999</v>
      </c>
      <c r="O155" s="6">
        <v>39.655999999999999</v>
      </c>
      <c r="P155" s="6">
        <v>23</v>
      </c>
      <c r="Q155" s="4" t="s">
        <v>26</v>
      </c>
      <c r="R155" s="4">
        <v>0</v>
      </c>
      <c r="S155" s="4" t="s">
        <v>213</v>
      </c>
      <c r="T155" s="4" t="s">
        <v>336</v>
      </c>
      <c r="U155" s="4">
        <v>0</v>
      </c>
      <c r="V155" s="4">
        <v>33</v>
      </c>
      <c r="W155" s="4">
        <v>64</v>
      </c>
    </row>
    <row r="156" spans="1:23" ht="11.25" customHeight="1" x14ac:dyDescent="0.3">
      <c r="A156" s="4" t="s">
        <v>21</v>
      </c>
      <c r="B156" s="4" t="s">
        <v>39</v>
      </c>
      <c r="C156" s="4" t="s">
        <v>23</v>
      </c>
      <c r="D156" s="4" t="s">
        <v>40</v>
      </c>
      <c r="E156" s="4" t="s">
        <v>25</v>
      </c>
      <c r="F156" s="4" t="s">
        <v>25</v>
      </c>
      <c r="G156" s="4" t="s">
        <v>25</v>
      </c>
      <c r="H156" s="4" t="s">
        <v>25</v>
      </c>
      <c r="I156" s="5">
        <v>44652</v>
      </c>
      <c r="J156" s="6">
        <v>0</v>
      </c>
      <c r="K156" s="6">
        <v>0</v>
      </c>
      <c r="L156" s="6">
        <v>404.09800000000001</v>
      </c>
      <c r="M156" s="6">
        <v>404.09800000000001</v>
      </c>
      <c r="N156" s="6">
        <v>404.09800000000001</v>
      </c>
      <c r="O156" s="6">
        <v>404.09800000000001</v>
      </c>
      <c r="P156" s="6">
        <v>950</v>
      </c>
      <c r="Q156" s="4" t="s">
        <v>26</v>
      </c>
      <c r="R156" s="4">
        <v>0</v>
      </c>
      <c r="S156" s="4" t="s">
        <v>214</v>
      </c>
      <c r="T156" s="4" t="s">
        <v>337</v>
      </c>
      <c r="U156" s="4">
        <v>0</v>
      </c>
      <c r="V156" s="4">
        <v>33</v>
      </c>
      <c r="W156" s="4">
        <v>64</v>
      </c>
    </row>
    <row r="157" spans="1:23" ht="11.25" customHeight="1" x14ac:dyDescent="0.3">
      <c r="A157" s="4" t="s">
        <v>41</v>
      </c>
      <c r="B157" s="4" t="s">
        <v>39</v>
      </c>
      <c r="C157" s="4" t="s">
        <v>23</v>
      </c>
      <c r="D157" s="4" t="s">
        <v>40</v>
      </c>
      <c r="E157" s="4" t="s">
        <v>25</v>
      </c>
      <c r="F157" s="4" t="s">
        <v>25</v>
      </c>
      <c r="G157" s="4" t="s">
        <v>25</v>
      </c>
      <c r="H157" s="4" t="s">
        <v>25</v>
      </c>
      <c r="I157" s="5">
        <v>44652</v>
      </c>
      <c r="J157" s="6">
        <v>0</v>
      </c>
      <c r="K157" s="6">
        <v>0</v>
      </c>
      <c r="L157" s="6">
        <v>39.155999999999999</v>
      </c>
      <c r="M157" s="6">
        <v>39.155999999999999</v>
      </c>
      <c r="N157" s="6">
        <v>39.155999999999999</v>
      </c>
      <c r="O157" s="6">
        <v>39.155999999999999</v>
      </c>
      <c r="P157" s="6">
        <v>23</v>
      </c>
      <c r="Q157" s="4" t="s">
        <v>26</v>
      </c>
      <c r="R157" s="4">
        <v>0</v>
      </c>
      <c r="S157" s="4" t="s">
        <v>214</v>
      </c>
      <c r="T157" s="4" t="s">
        <v>337</v>
      </c>
      <c r="U157" s="4">
        <v>0</v>
      </c>
      <c r="V157" s="4">
        <v>33</v>
      </c>
      <c r="W157" s="4">
        <v>64</v>
      </c>
    </row>
    <row r="158" spans="1:23" ht="11.25" customHeight="1" x14ac:dyDescent="0.3">
      <c r="A158" s="4" t="s">
        <v>21</v>
      </c>
      <c r="B158" s="4" t="s">
        <v>39</v>
      </c>
      <c r="C158" s="4" t="s">
        <v>23</v>
      </c>
      <c r="D158" s="4" t="s">
        <v>40</v>
      </c>
      <c r="E158" s="4" t="s">
        <v>25</v>
      </c>
      <c r="F158" s="4" t="s">
        <v>25</v>
      </c>
      <c r="G158" s="4" t="s">
        <v>25</v>
      </c>
      <c r="H158" s="4" t="s">
        <v>25</v>
      </c>
      <c r="I158" s="5">
        <v>44682</v>
      </c>
      <c r="J158" s="6">
        <v>0</v>
      </c>
      <c r="K158" s="6">
        <v>0</v>
      </c>
      <c r="L158" s="6">
        <v>409.298</v>
      </c>
      <c r="M158" s="6">
        <v>409.298</v>
      </c>
      <c r="N158" s="6">
        <v>409.298</v>
      </c>
      <c r="O158" s="6">
        <v>409.298</v>
      </c>
      <c r="P158" s="6">
        <v>947</v>
      </c>
      <c r="Q158" s="4" t="s">
        <v>26</v>
      </c>
      <c r="R158" s="4">
        <v>0</v>
      </c>
      <c r="S158" s="4" t="s">
        <v>215</v>
      </c>
      <c r="T158" s="4" t="s">
        <v>338</v>
      </c>
      <c r="U158" s="4">
        <v>0</v>
      </c>
      <c r="V158" s="4">
        <v>33</v>
      </c>
      <c r="W158" s="4">
        <v>64</v>
      </c>
    </row>
    <row r="159" spans="1:23" ht="11.25" customHeight="1" x14ac:dyDescent="0.3">
      <c r="A159" s="4" t="s">
        <v>41</v>
      </c>
      <c r="B159" s="4" t="s">
        <v>39</v>
      </c>
      <c r="C159" s="4" t="s">
        <v>23</v>
      </c>
      <c r="D159" s="4" t="s">
        <v>40</v>
      </c>
      <c r="E159" s="4" t="s">
        <v>25</v>
      </c>
      <c r="F159" s="4" t="s">
        <v>25</v>
      </c>
      <c r="G159" s="4" t="s">
        <v>25</v>
      </c>
      <c r="H159" s="4" t="s">
        <v>25</v>
      </c>
      <c r="I159" s="5">
        <v>44682</v>
      </c>
      <c r="J159" s="6">
        <v>0</v>
      </c>
      <c r="K159" s="6">
        <v>0</v>
      </c>
      <c r="L159" s="6">
        <v>45.146999999999998</v>
      </c>
      <c r="M159" s="6">
        <v>45.146999999999998</v>
      </c>
      <c r="N159" s="6">
        <v>45.146999999999998</v>
      </c>
      <c r="O159" s="6">
        <v>45.146999999999998</v>
      </c>
      <c r="P159" s="6">
        <v>25</v>
      </c>
      <c r="Q159" s="4" t="s">
        <v>26</v>
      </c>
      <c r="R159" s="4">
        <v>0</v>
      </c>
      <c r="S159" s="4" t="s">
        <v>215</v>
      </c>
      <c r="T159" s="4" t="s">
        <v>338</v>
      </c>
      <c r="U159" s="4">
        <v>0</v>
      </c>
      <c r="V159" s="4">
        <v>33</v>
      </c>
      <c r="W159" s="4">
        <v>64</v>
      </c>
    </row>
    <row r="160" spans="1:23" ht="11.25" customHeight="1" x14ac:dyDescent="0.3">
      <c r="A160" s="4" t="s">
        <v>21</v>
      </c>
      <c r="B160" s="4" t="s">
        <v>39</v>
      </c>
      <c r="C160" s="4" t="s">
        <v>23</v>
      </c>
      <c r="D160" s="4" t="s">
        <v>40</v>
      </c>
      <c r="E160" s="4" t="s">
        <v>25</v>
      </c>
      <c r="F160" s="4" t="s">
        <v>25</v>
      </c>
      <c r="G160" s="4" t="s">
        <v>25</v>
      </c>
      <c r="H160" s="4" t="s">
        <v>25</v>
      </c>
      <c r="I160" s="5">
        <v>44713</v>
      </c>
      <c r="J160" s="6">
        <v>0</v>
      </c>
      <c r="K160" s="6">
        <v>0</v>
      </c>
      <c r="L160" s="6">
        <v>386.99599999999998</v>
      </c>
      <c r="M160" s="6">
        <v>386.99599999999998</v>
      </c>
      <c r="N160" s="6">
        <v>386.99599999999998</v>
      </c>
      <c r="O160" s="6">
        <v>386.99599999999998</v>
      </c>
      <c r="P160" s="6">
        <v>946</v>
      </c>
      <c r="Q160" s="4" t="s">
        <v>26</v>
      </c>
      <c r="R160" s="4">
        <v>0</v>
      </c>
      <c r="S160" s="4" t="s">
        <v>216</v>
      </c>
      <c r="T160" s="4" t="s">
        <v>339</v>
      </c>
      <c r="U160" s="4">
        <v>0</v>
      </c>
      <c r="V160" s="4">
        <v>33</v>
      </c>
      <c r="W160" s="4">
        <v>64</v>
      </c>
    </row>
    <row r="161" spans="1:23" ht="11.25" customHeight="1" x14ac:dyDescent="0.3">
      <c r="A161" s="4" t="s">
        <v>41</v>
      </c>
      <c r="B161" s="4" t="s">
        <v>39</v>
      </c>
      <c r="C161" s="4" t="s">
        <v>23</v>
      </c>
      <c r="D161" s="4" t="s">
        <v>40</v>
      </c>
      <c r="E161" s="4" t="s">
        <v>25</v>
      </c>
      <c r="F161" s="4" t="s">
        <v>25</v>
      </c>
      <c r="G161" s="4" t="s">
        <v>25</v>
      </c>
      <c r="H161" s="4" t="s">
        <v>25</v>
      </c>
      <c r="I161" s="5">
        <v>44713</v>
      </c>
      <c r="J161" s="6">
        <v>0</v>
      </c>
      <c r="K161" s="6">
        <v>0</v>
      </c>
      <c r="L161" s="6">
        <v>49.85</v>
      </c>
      <c r="M161" s="6">
        <v>49.85</v>
      </c>
      <c r="N161" s="6">
        <v>49.85</v>
      </c>
      <c r="O161" s="6">
        <v>49.85</v>
      </c>
      <c r="P161" s="6">
        <v>27</v>
      </c>
      <c r="Q161" s="4" t="s">
        <v>26</v>
      </c>
      <c r="R161" s="4">
        <v>0</v>
      </c>
      <c r="S161" s="4" t="s">
        <v>216</v>
      </c>
      <c r="T161" s="4" t="s">
        <v>339</v>
      </c>
      <c r="U161" s="4">
        <v>0</v>
      </c>
      <c r="V161" s="4">
        <v>33</v>
      </c>
      <c r="W161" s="4">
        <v>64</v>
      </c>
    </row>
    <row r="162" spans="1:23" ht="11.25" customHeight="1" x14ac:dyDescent="0.3">
      <c r="A162" s="4" t="s">
        <v>21</v>
      </c>
      <c r="B162" s="4" t="s">
        <v>39</v>
      </c>
      <c r="C162" s="4" t="s">
        <v>23</v>
      </c>
      <c r="D162" s="4" t="s">
        <v>40</v>
      </c>
      <c r="E162" s="4" t="s">
        <v>25</v>
      </c>
      <c r="F162" s="4" t="s">
        <v>25</v>
      </c>
      <c r="G162" s="4" t="s">
        <v>25</v>
      </c>
      <c r="H162" s="4" t="s">
        <v>25</v>
      </c>
      <c r="I162" s="5">
        <v>44743</v>
      </c>
      <c r="J162" s="6">
        <v>0</v>
      </c>
      <c r="K162" s="6">
        <v>0</v>
      </c>
      <c r="L162" s="6">
        <v>380.39699999999999</v>
      </c>
      <c r="M162" s="6">
        <v>380.39699999999999</v>
      </c>
      <c r="N162" s="6">
        <v>380.39699999999999</v>
      </c>
      <c r="O162" s="6">
        <v>380.39699999999999</v>
      </c>
      <c r="P162" s="6">
        <v>939</v>
      </c>
      <c r="Q162" s="4" t="s">
        <v>26</v>
      </c>
      <c r="R162" s="4">
        <v>0</v>
      </c>
      <c r="S162" s="4" t="s">
        <v>217</v>
      </c>
      <c r="T162" s="4" t="s">
        <v>340</v>
      </c>
      <c r="U162" s="4">
        <v>0</v>
      </c>
      <c r="V162" s="4">
        <v>33</v>
      </c>
      <c r="W162" s="4">
        <v>64</v>
      </c>
    </row>
    <row r="163" spans="1:23" ht="11.25" customHeight="1" x14ac:dyDescent="0.3">
      <c r="A163" s="4" t="s">
        <v>41</v>
      </c>
      <c r="B163" s="4" t="s">
        <v>39</v>
      </c>
      <c r="C163" s="4" t="s">
        <v>23</v>
      </c>
      <c r="D163" s="4" t="s">
        <v>40</v>
      </c>
      <c r="E163" s="4" t="s">
        <v>25</v>
      </c>
      <c r="F163" s="4" t="s">
        <v>25</v>
      </c>
      <c r="G163" s="4" t="s">
        <v>25</v>
      </c>
      <c r="H163" s="4" t="s">
        <v>25</v>
      </c>
      <c r="I163" s="5">
        <v>44743</v>
      </c>
      <c r="J163" s="6">
        <v>0</v>
      </c>
      <c r="K163" s="6">
        <v>0</v>
      </c>
      <c r="L163" s="6">
        <v>65.037000000000006</v>
      </c>
      <c r="M163" s="6">
        <v>65.037000000000006</v>
      </c>
      <c r="N163" s="6">
        <v>65.037000000000006</v>
      </c>
      <c r="O163" s="6">
        <v>65.037000000000006</v>
      </c>
      <c r="P163" s="6">
        <v>30</v>
      </c>
      <c r="Q163" s="4" t="s">
        <v>26</v>
      </c>
      <c r="R163" s="4">
        <v>0</v>
      </c>
      <c r="S163" s="4" t="s">
        <v>217</v>
      </c>
      <c r="T163" s="4" t="s">
        <v>340</v>
      </c>
      <c r="U163" s="4">
        <v>0</v>
      </c>
      <c r="V163" s="4">
        <v>33</v>
      </c>
      <c r="W163" s="4">
        <v>64</v>
      </c>
    </row>
    <row r="164" spans="1:23" ht="11.25" customHeight="1" x14ac:dyDescent="0.3">
      <c r="A164" s="4" t="s">
        <v>21</v>
      </c>
      <c r="B164" s="4" t="s">
        <v>39</v>
      </c>
      <c r="C164" s="4" t="s">
        <v>23</v>
      </c>
      <c r="D164" s="4" t="s">
        <v>40</v>
      </c>
      <c r="E164" s="4" t="s">
        <v>25</v>
      </c>
      <c r="F164" s="4" t="s">
        <v>25</v>
      </c>
      <c r="G164" s="4" t="s">
        <v>25</v>
      </c>
      <c r="H164" s="4" t="s">
        <v>25</v>
      </c>
      <c r="I164" s="5">
        <v>44774</v>
      </c>
      <c r="J164" s="6">
        <v>0</v>
      </c>
      <c r="K164" s="6">
        <v>0</v>
      </c>
      <c r="L164" s="6">
        <v>433.69900000000001</v>
      </c>
      <c r="M164" s="6">
        <v>433.69900000000001</v>
      </c>
      <c r="N164" s="6">
        <v>433.69900000000001</v>
      </c>
      <c r="O164" s="6">
        <v>433.69900000000001</v>
      </c>
      <c r="P164" s="6">
        <v>939</v>
      </c>
      <c r="Q164" s="4" t="s">
        <v>26</v>
      </c>
      <c r="R164" s="4">
        <v>0</v>
      </c>
      <c r="S164" s="4" t="s">
        <v>218</v>
      </c>
      <c r="T164" s="4" t="s">
        <v>341</v>
      </c>
      <c r="U164" s="4">
        <v>0</v>
      </c>
      <c r="V164" s="4">
        <v>33</v>
      </c>
      <c r="W164" s="4">
        <v>64</v>
      </c>
    </row>
    <row r="165" spans="1:23" ht="11.25" customHeight="1" x14ac:dyDescent="0.3">
      <c r="A165" s="4" t="s">
        <v>41</v>
      </c>
      <c r="B165" s="4" t="s">
        <v>39</v>
      </c>
      <c r="C165" s="4" t="s">
        <v>23</v>
      </c>
      <c r="D165" s="4" t="s">
        <v>40</v>
      </c>
      <c r="E165" s="4" t="s">
        <v>25</v>
      </c>
      <c r="F165" s="4" t="s">
        <v>25</v>
      </c>
      <c r="G165" s="4" t="s">
        <v>25</v>
      </c>
      <c r="H165" s="4" t="s">
        <v>25</v>
      </c>
      <c r="I165" s="5">
        <v>44774</v>
      </c>
      <c r="J165" s="6">
        <v>0</v>
      </c>
      <c r="K165" s="6">
        <v>0</v>
      </c>
      <c r="L165" s="6">
        <v>30.49</v>
      </c>
      <c r="M165" s="6">
        <v>30.49</v>
      </c>
      <c r="N165" s="6">
        <v>30.49</v>
      </c>
      <c r="O165" s="6">
        <v>30.49</v>
      </c>
      <c r="P165" s="6">
        <v>32</v>
      </c>
      <c r="Q165" s="4" t="s">
        <v>26</v>
      </c>
      <c r="R165" s="4">
        <v>0</v>
      </c>
      <c r="S165" s="4" t="s">
        <v>218</v>
      </c>
      <c r="T165" s="4" t="s">
        <v>341</v>
      </c>
      <c r="U165" s="4">
        <v>0</v>
      </c>
      <c r="V165" s="4">
        <v>33</v>
      </c>
      <c r="W165" s="4">
        <v>64</v>
      </c>
    </row>
    <row r="166" spans="1:23" ht="11.25" customHeight="1" x14ac:dyDescent="0.3">
      <c r="A166" s="4" t="s">
        <v>21</v>
      </c>
      <c r="B166" s="4" t="s">
        <v>31</v>
      </c>
      <c r="C166" s="4" t="s">
        <v>23</v>
      </c>
      <c r="D166" s="4" t="s">
        <v>38</v>
      </c>
      <c r="E166" s="4" t="s">
        <v>25</v>
      </c>
      <c r="F166" s="4" t="s">
        <v>25</v>
      </c>
      <c r="G166" s="4" t="s">
        <v>25</v>
      </c>
      <c r="H166" s="4" t="s">
        <v>25</v>
      </c>
      <c r="I166" s="5">
        <v>44440</v>
      </c>
      <c r="J166" s="6">
        <v>0</v>
      </c>
      <c r="K166" s="6">
        <v>0</v>
      </c>
      <c r="L166" s="6">
        <v>18.245999999999999</v>
      </c>
      <c r="M166" s="6">
        <v>18.245999999999999</v>
      </c>
      <c r="N166" s="6">
        <v>18.245999999999999</v>
      </c>
      <c r="O166" s="6">
        <v>18.245999999999999</v>
      </c>
      <c r="P166" s="6">
        <v>45</v>
      </c>
      <c r="Q166" s="4" t="s">
        <v>26</v>
      </c>
      <c r="R166" s="4">
        <v>0</v>
      </c>
      <c r="S166" s="4" t="s">
        <v>219</v>
      </c>
      <c r="T166" s="4" t="s">
        <v>342</v>
      </c>
      <c r="U166" s="4">
        <v>0</v>
      </c>
      <c r="V166" s="4">
        <v>32</v>
      </c>
      <c r="W166" s="4">
        <v>55</v>
      </c>
    </row>
    <row r="167" spans="1:23" ht="11.25" customHeight="1" x14ac:dyDescent="0.3">
      <c r="A167" s="4" t="s">
        <v>21</v>
      </c>
      <c r="B167" s="4" t="s">
        <v>31</v>
      </c>
      <c r="C167" s="4" t="s">
        <v>23</v>
      </c>
      <c r="D167" s="4" t="s">
        <v>38</v>
      </c>
      <c r="E167" s="4" t="s">
        <v>25</v>
      </c>
      <c r="F167" s="4" t="s">
        <v>25</v>
      </c>
      <c r="G167" s="4" t="s">
        <v>25</v>
      </c>
      <c r="H167" s="4" t="s">
        <v>25</v>
      </c>
      <c r="I167" s="5">
        <v>44470</v>
      </c>
      <c r="J167" s="6">
        <v>0</v>
      </c>
      <c r="K167" s="6">
        <v>0</v>
      </c>
      <c r="L167" s="6">
        <v>17.728000000000002</v>
      </c>
      <c r="M167" s="6">
        <v>17.728000000000002</v>
      </c>
      <c r="N167" s="6">
        <v>17.728000000000002</v>
      </c>
      <c r="O167" s="6">
        <v>17.728000000000002</v>
      </c>
      <c r="P167" s="6">
        <v>45</v>
      </c>
      <c r="Q167" s="4" t="s">
        <v>26</v>
      </c>
      <c r="R167" s="4">
        <v>0</v>
      </c>
      <c r="S167" s="4" t="s">
        <v>220</v>
      </c>
      <c r="T167" s="4" t="s">
        <v>343</v>
      </c>
      <c r="U167" s="4">
        <v>0</v>
      </c>
      <c r="V167" s="4">
        <v>32</v>
      </c>
      <c r="W167" s="4">
        <v>55</v>
      </c>
    </row>
    <row r="168" spans="1:23" ht="11.25" customHeight="1" x14ac:dyDescent="0.3">
      <c r="A168" s="4" t="s">
        <v>21</v>
      </c>
      <c r="B168" s="4" t="s">
        <v>31</v>
      </c>
      <c r="C168" s="4" t="s">
        <v>23</v>
      </c>
      <c r="D168" s="4" t="s">
        <v>38</v>
      </c>
      <c r="E168" s="4" t="s">
        <v>25</v>
      </c>
      <c r="F168" s="4" t="s">
        <v>25</v>
      </c>
      <c r="G168" s="4" t="s">
        <v>25</v>
      </c>
      <c r="H168" s="4" t="s">
        <v>25</v>
      </c>
      <c r="I168" s="5">
        <v>44501</v>
      </c>
      <c r="J168" s="6">
        <v>0</v>
      </c>
      <c r="K168" s="6">
        <v>0</v>
      </c>
      <c r="L168" s="6">
        <v>29.722000000000001</v>
      </c>
      <c r="M168" s="6">
        <v>29.722000000000001</v>
      </c>
      <c r="N168" s="6">
        <v>29.722000000000001</v>
      </c>
      <c r="O168" s="6">
        <v>29.722000000000001</v>
      </c>
      <c r="P168" s="6">
        <v>47</v>
      </c>
      <c r="Q168" s="4" t="s">
        <v>26</v>
      </c>
      <c r="R168" s="4">
        <v>0</v>
      </c>
      <c r="S168" s="4" t="s">
        <v>221</v>
      </c>
      <c r="T168" s="4" t="s">
        <v>344</v>
      </c>
      <c r="U168" s="4">
        <v>0</v>
      </c>
      <c r="V168" s="4">
        <v>32</v>
      </c>
      <c r="W168" s="4">
        <v>55</v>
      </c>
    </row>
    <row r="169" spans="1:23" ht="11.25" customHeight="1" x14ac:dyDescent="0.3">
      <c r="A169" s="4" t="s">
        <v>21</v>
      </c>
      <c r="B169" s="4" t="s">
        <v>31</v>
      </c>
      <c r="C169" s="4" t="s">
        <v>23</v>
      </c>
      <c r="D169" s="4" t="s">
        <v>38</v>
      </c>
      <c r="E169" s="4" t="s">
        <v>25</v>
      </c>
      <c r="F169" s="4" t="s">
        <v>25</v>
      </c>
      <c r="G169" s="4" t="s">
        <v>25</v>
      </c>
      <c r="H169" s="4" t="s">
        <v>25</v>
      </c>
      <c r="I169" s="5">
        <v>44531</v>
      </c>
      <c r="J169" s="6">
        <v>0</v>
      </c>
      <c r="K169" s="6">
        <v>0</v>
      </c>
      <c r="L169" s="6">
        <v>30.117000000000001</v>
      </c>
      <c r="M169" s="6">
        <v>30.117000000000001</v>
      </c>
      <c r="N169" s="6">
        <v>30.117000000000001</v>
      </c>
      <c r="O169" s="6">
        <v>30.117000000000001</v>
      </c>
      <c r="P169" s="6">
        <v>47</v>
      </c>
      <c r="Q169" s="4" t="s">
        <v>26</v>
      </c>
      <c r="R169" s="4">
        <v>0</v>
      </c>
      <c r="S169" s="4" t="s">
        <v>222</v>
      </c>
      <c r="T169" s="4" t="s">
        <v>345</v>
      </c>
      <c r="U169" s="4">
        <v>0</v>
      </c>
      <c r="V169" s="4">
        <v>32</v>
      </c>
      <c r="W169" s="4">
        <v>55</v>
      </c>
    </row>
    <row r="170" spans="1:23" ht="11.25" customHeight="1" x14ac:dyDescent="0.3">
      <c r="A170" s="4" t="s">
        <v>21</v>
      </c>
      <c r="B170" s="4" t="s">
        <v>31</v>
      </c>
      <c r="C170" s="4" t="s">
        <v>23</v>
      </c>
      <c r="D170" s="4" t="s">
        <v>38</v>
      </c>
      <c r="E170" s="4" t="s">
        <v>25</v>
      </c>
      <c r="F170" s="4" t="s">
        <v>25</v>
      </c>
      <c r="G170" s="4" t="s">
        <v>25</v>
      </c>
      <c r="H170" s="4" t="s">
        <v>25</v>
      </c>
      <c r="I170" s="5">
        <v>44562</v>
      </c>
      <c r="J170" s="6">
        <v>0</v>
      </c>
      <c r="K170" s="6">
        <v>0</v>
      </c>
      <c r="L170" s="6">
        <v>31.613</v>
      </c>
      <c r="M170" s="6">
        <v>31.613</v>
      </c>
      <c r="N170" s="6">
        <v>31.613</v>
      </c>
      <c r="O170" s="6">
        <v>31.613</v>
      </c>
      <c r="P170" s="6">
        <v>47</v>
      </c>
      <c r="Q170" s="4" t="s">
        <v>26</v>
      </c>
      <c r="R170" s="4">
        <v>0</v>
      </c>
      <c r="S170" s="4" t="s">
        <v>223</v>
      </c>
      <c r="T170" s="4" t="s">
        <v>346</v>
      </c>
      <c r="U170" s="4">
        <v>0</v>
      </c>
      <c r="V170" s="4">
        <v>32</v>
      </c>
      <c r="W170" s="4">
        <v>55</v>
      </c>
    </row>
    <row r="171" spans="1:23" ht="11.25" customHeight="1" x14ac:dyDescent="0.3">
      <c r="A171" s="4" t="s">
        <v>21</v>
      </c>
      <c r="B171" s="4" t="s">
        <v>31</v>
      </c>
      <c r="C171" s="4" t="s">
        <v>23</v>
      </c>
      <c r="D171" s="4" t="s">
        <v>38</v>
      </c>
      <c r="E171" s="4" t="s">
        <v>25</v>
      </c>
      <c r="F171" s="4" t="s">
        <v>25</v>
      </c>
      <c r="G171" s="4" t="s">
        <v>25</v>
      </c>
      <c r="H171" s="4" t="s">
        <v>25</v>
      </c>
      <c r="I171" s="5">
        <v>44593</v>
      </c>
      <c r="J171" s="6">
        <v>0</v>
      </c>
      <c r="K171" s="6">
        <v>0</v>
      </c>
      <c r="L171" s="6">
        <v>29.172000000000001</v>
      </c>
      <c r="M171" s="6">
        <v>29.172000000000001</v>
      </c>
      <c r="N171" s="6">
        <v>29.172000000000001</v>
      </c>
      <c r="O171" s="6">
        <v>29.172000000000001</v>
      </c>
      <c r="P171" s="6">
        <v>47</v>
      </c>
      <c r="Q171" s="4" t="s">
        <v>26</v>
      </c>
      <c r="R171" s="4">
        <v>0</v>
      </c>
      <c r="S171" s="4" t="s">
        <v>224</v>
      </c>
      <c r="T171" s="4" t="s">
        <v>347</v>
      </c>
      <c r="U171" s="4">
        <v>0</v>
      </c>
      <c r="V171" s="4">
        <v>32</v>
      </c>
      <c r="W171" s="4">
        <v>55</v>
      </c>
    </row>
    <row r="172" spans="1:23" ht="11.25" customHeight="1" x14ac:dyDescent="0.3">
      <c r="A172" s="4" t="s">
        <v>21</v>
      </c>
      <c r="B172" s="4" t="s">
        <v>31</v>
      </c>
      <c r="C172" s="4" t="s">
        <v>23</v>
      </c>
      <c r="D172" s="4" t="s">
        <v>38</v>
      </c>
      <c r="E172" s="4" t="s">
        <v>25</v>
      </c>
      <c r="F172" s="4" t="s">
        <v>25</v>
      </c>
      <c r="G172" s="4" t="s">
        <v>25</v>
      </c>
      <c r="H172" s="4" t="s">
        <v>25</v>
      </c>
      <c r="I172" s="5">
        <v>44621</v>
      </c>
      <c r="J172" s="6">
        <v>0</v>
      </c>
      <c r="K172" s="6">
        <v>0</v>
      </c>
      <c r="L172" s="6">
        <v>25.01</v>
      </c>
      <c r="M172" s="6">
        <v>25.01</v>
      </c>
      <c r="N172" s="6">
        <v>25.01</v>
      </c>
      <c r="O172" s="6">
        <v>25.01</v>
      </c>
      <c r="P172" s="6">
        <v>47</v>
      </c>
      <c r="Q172" s="4" t="s">
        <v>26</v>
      </c>
      <c r="R172" s="4">
        <v>0</v>
      </c>
      <c r="S172" s="4" t="s">
        <v>225</v>
      </c>
      <c r="T172" s="4" t="s">
        <v>348</v>
      </c>
      <c r="U172" s="4">
        <v>0</v>
      </c>
      <c r="V172" s="4">
        <v>32</v>
      </c>
      <c r="W172" s="4">
        <v>55</v>
      </c>
    </row>
    <row r="173" spans="1:23" ht="11.25" customHeight="1" x14ac:dyDescent="0.3">
      <c r="A173" s="4" t="s">
        <v>21</v>
      </c>
      <c r="B173" s="4" t="s">
        <v>31</v>
      </c>
      <c r="C173" s="4" t="s">
        <v>23</v>
      </c>
      <c r="D173" s="4" t="s">
        <v>38</v>
      </c>
      <c r="E173" s="4" t="s">
        <v>25</v>
      </c>
      <c r="F173" s="4" t="s">
        <v>25</v>
      </c>
      <c r="G173" s="4" t="s">
        <v>25</v>
      </c>
      <c r="H173" s="4" t="s">
        <v>25</v>
      </c>
      <c r="I173" s="5">
        <v>44652</v>
      </c>
      <c r="J173" s="6">
        <v>0</v>
      </c>
      <c r="K173" s="6">
        <v>0</v>
      </c>
      <c r="L173" s="6">
        <v>22.893000000000001</v>
      </c>
      <c r="M173" s="6">
        <v>22.893000000000001</v>
      </c>
      <c r="N173" s="6">
        <v>22.893000000000001</v>
      </c>
      <c r="O173" s="6">
        <v>22.893000000000001</v>
      </c>
      <c r="P173" s="6">
        <v>47</v>
      </c>
      <c r="Q173" s="4" t="s">
        <v>26</v>
      </c>
      <c r="R173" s="4">
        <v>0</v>
      </c>
      <c r="S173" s="4" t="s">
        <v>226</v>
      </c>
      <c r="T173" s="4" t="s">
        <v>349</v>
      </c>
      <c r="U173" s="4">
        <v>0</v>
      </c>
      <c r="V173" s="4">
        <v>32</v>
      </c>
      <c r="W173" s="4">
        <v>55</v>
      </c>
    </row>
    <row r="174" spans="1:23" ht="11.25" customHeight="1" x14ac:dyDescent="0.3">
      <c r="A174" s="4" t="s">
        <v>21</v>
      </c>
      <c r="B174" s="4" t="s">
        <v>31</v>
      </c>
      <c r="C174" s="4" t="s">
        <v>23</v>
      </c>
      <c r="D174" s="4" t="s">
        <v>38</v>
      </c>
      <c r="E174" s="4" t="s">
        <v>25</v>
      </c>
      <c r="F174" s="4" t="s">
        <v>25</v>
      </c>
      <c r="G174" s="4" t="s">
        <v>25</v>
      </c>
      <c r="H174" s="4" t="s">
        <v>25</v>
      </c>
      <c r="I174" s="5">
        <v>44682</v>
      </c>
      <c r="J174" s="6">
        <v>0</v>
      </c>
      <c r="K174" s="6">
        <v>0</v>
      </c>
      <c r="L174" s="6">
        <v>22.956</v>
      </c>
      <c r="M174" s="6">
        <v>22.956</v>
      </c>
      <c r="N174" s="6">
        <v>22.956</v>
      </c>
      <c r="O174" s="6">
        <v>22.956</v>
      </c>
      <c r="P174" s="6">
        <v>47</v>
      </c>
      <c r="Q174" s="4" t="s">
        <v>26</v>
      </c>
      <c r="R174" s="4">
        <v>0</v>
      </c>
      <c r="S174" s="4" t="s">
        <v>227</v>
      </c>
      <c r="T174" s="4" t="s">
        <v>350</v>
      </c>
      <c r="U174" s="4">
        <v>0</v>
      </c>
      <c r="V174" s="4">
        <v>32</v>
      </c>
      <c r="W174" s="4">
        <v>55</v>
      </c>
    </row>
    <row r="175" spans="1:23" ht="11.25" customHeight="1" x14ac:dyDescent="0.3">
      <c r="A175" s="4" t="s">
        <v>21</v>
      </c>
      <c r="B175" s="4" t="s">
        <v>31</v>
      </c>
      <c r="C175" s="4" t="s">
        <v>23</v>
      </c>
      <c r="D175" s="4" t="s">
        <v>38</v>
      </c>
      <c r="E175" s="4" t="s">
        <v>25</v>
      </c>
      <c r="F175" s="4" t="s">
        <v>25</v>
      </c>
      <c r="G175" s="4" t="s">
        <v>25</v>
      </c>
      <c r="H175" s="4" t="s">
        <v>25</v>
      </c>
      <c r="I175" s="5">
        <v>44713</v>
      </c>
      <c r="J175" s="6">
        <v>0</v>
      </c>
      <c r="K175" s="6">
        <v>0</v>
      </c>
      <c r="L175" s="6">
        <v>20.518000000000001</v>
      </c>
      <c r="M175" s="6">
        <v>20.518000000000001</v>
      </c>
      <c r="N175" s="6">
        <v>20.518000000000001</v>
      </c>
      <c r="O175" s="6">
        <v>20.518000000000001</v>
      </c>
      <c r="P175" s="6">
        <v>47</v>
      </c>
      <c r="Q175" s="4" t="s">
        <v>26</v>
      </c>
      <c r="R175" s="4">
        <v>0</v>
      </c>
      <c r="S175" s="4" t="s">
        <v>228</v>
      </c>
      <c r="T175" s="4" t="s">
        <v>351</v>
      </c>
      <c r="U175" s="4">
        <v>0</v>
      </c>
      <c r="V175" s="4">
        <v>32</v>
      </c>
      <c r="W175" s="4">
        <v>55</v>
      </c>
    </row>
    <row r="176" spans="1:23" ht="11.25" customHeight="1" x14ac:dyDescent="0.3">
      <c r="A176" s="4" t="s">
        <v>21</v>
      </c>
      <c r="B176" s="4" t="s">
        <v>31</v>
      </c>
      <c r="C176" s="4" t="s">
        <v>23</v>
      </c>
      <c r="D176" s="4" t="s">
        <v>38</v>
      </c>
      <c r="E176" s="4" t="s">
        <v>25</v>
      </c>
      <c r="F176" s="4" t="s">
        <v>25</v>
      </c>
      <c r="G176" s="4" t="s">
        <v>25</v>
      </c>
      <c r="H176" s="4" t="s">
        <v>25</v>
      </c>
      <c r="I176" s="5">
        <v>44743</v>
      </c>
      <c r="J176" s="6">
        <v>0</v>
      </c>
      <c r="K176" s="6">
        <v>0</v>
      </c>
      <c r="L176" s="6">
        <v>19.463999999999999</v>
      </c>
      <c r="M176" s="6">
        <v>19.463999999999999</v>
      </c>
      <c r="N176" s="6">
        <v>19.463999999999999</v>
      </c>
      <c r="O176" s="6">
        <v>19.463999999999999</v>
      </c>
      <c r="P176" s="6">
        <v>49</v>
      </c>
      <c r="Q176" s="4" t="s">
        <v>26</v>
      </c>
      <c r="R176" s="4">
        <v>0</v>
      </c>
      <c r="S176" s="4" t="s">
        <v>229</v>
      </c>
      <c r="T176" s="4" t="s">
        <v>352</v>
      </c>
      <c r="U176" s="4">
        <v>0</v>
      </c>
      <c r="V176" s="4">
        <v>32</v>
      </c>
      <c r="W176" s="4">
        <v>55</v>
      </c>
    </row>
    <row r="177" spans="1:23" ht="11.25" customHeight="1" x14ac:dyDescent="0.3">
      <c r="A177" s="4" t="s">
        <v>21</v>
      </c>
      <c r="B177" s="4" t="s">
        <v>31</v>
      </c>
      <c r="C177" s="4" t="s">
        <v>23</v>
      </c>
      <c r="D177" s="4" t="s">
        <v>38</v>
      </c>
      <c r="E177" s="4" t="s">
        <v>25</v>
      </c>
      <c r="F177" s="4" t="s">
        <v>25</v>
      </c>
      <c r="G177" s="4" t="s">
        <v>25</v>
      </c>
      <c r="H177" s="4" t="s">
        <v>25</v>
      </c>
      <c r="I177" s="5">
        <v>44774</v>
      </c>
      <c r="J177" s="6">
        <v>0</v>
      </c>
      <c r="K177" s="6">
        <v>0</v>
      </c>
      <c r="L177" s="6">
        <v>21.457999999999998</v>
      </c>
      <c r="M177" s="6">
        <v>21.457999999999998</v>
      </c>
      <c r="N177" s="6">
        <v>21.457999999999998</v>
      </c>
      <c r="O177" s="6">
        <v>21.457999999999998</v>
      </c>
      <c r="P177" s="6">
        <v>49</v>
      </c>
      <c r="Q177" s="4" t="s">
        <v>26</v>
      </c>
      <c r="R177" s="4">
        <v>0</v>
      </c>
      <c r="S177" s="4" t="s">
        <v>230</v>
      </c>
      <c r="T177" s="4" t="s">
        <v>353</v>
      </c>
      <c r="U177" s="4">
        <v>0</v>
      </c>
      <c r="V177" s="4">
        <v>32</v>
      </c>
      <c r="W177" s="4">
        <v>55</v>
      </c>
    </row>
    <row r="178" spans="1:23" ht="11.25" customHeight="1" x14ac:dyDescent="0.3">
      <c r="A178" s="4" t="s">
        <v>21</v>
      </c>
      <c r="B178" s="4" t="s">
        <v>31</v>
      </c>
      <c r="C178" s="4" t="s">
        <v>23</v>
      </c>
      <c r="D178" s="4" t="s">
        <v>32</v>
      </c>
      <c r="E178" s="4" t="s">
        <v>25</v>
      </c>
      <c r="F178" s="4" t="s">
        <v>25</v>
      </c>
      <c r="G178" s="4" t="s">
        <v>25</v>
      </c>
      <c r="H178" s="4" t="s">
        <v>25</v>
      </c>
      <c r="I178" s="5">
        <v>44440</v>
      </c>
      <c r="J178" s="6">
        <v>0</v>
      </c>
      <c r="K178" s="6">
        <v>0</v>
      </c>
      <c r="L178" s="6">
        <v>0.33600000000000002</v>
      </c>
      <c r="M178" s="6">
        <v>0.33600000000000002</v>
      </c>
      <c r="N178" s="6">
        <v>0.33600000000000002</v>
      </c>
      <c r="O178" s="6">
        <v>0.33600000000000002</v>
      </c>
      <c r="P178" s="6">
        <v>2</v>
      </c>
      <c r="Q178" s="4" t="s">
        <v>26</v>
      </c>
      <c r="R178" s="4">
        <v>0</v>
      </c>
      <c r="S178" s="4" t="s">
        <v>219</v>
      </c>
      <c r="T178" s="4" t="s">
        <v>342</v>
      </c>
      <c r="U178" s="4">
        <v>0</v>
      </c>
      <c r="V178" s="4">
        <v>32</v>
      </c>
      <c r="W178" s="4">
        <v>55</v>
      </c>
    </row>
    <row r="179" spans="1:23" ht="11.25" customHeight="1" x14ac:dyDescent="0.3">
      <c r="A179" s="4" t="s">
        <v>21</v>
      </c>
      <c r="B179" s="4" t="s">
        <v>31</v>
      </c>
      <c r="C179" s="4" t="s">
        <v>23</v>
      </c>
      <c r="D179" s="4" t="s">
        <v>32</v>
      </c>
      <c r="E179" s="4" t="s">
        <v>25</v>
      </c>
      <c r="F179" s="4" t="s">
        <v>25</v>
      </c>
      <c r="G179" s="4" t="s">
        <v>25</v>
      </c>
      <c r="H179" s="4" t="s">
        <v>25</v>
      </c>
      <c r="I179" s="5">
        <v>44470</v>
      </c>
      <c r="J179" s="6">
        <v>0</v>
      </c>
      <c r="K179" s="6">
        <v>0</v>
      </c>
      <c r="L179" s="6">
        <v>0.36199999999999999</v>
      </c>
      <c r="M179" s="6">
        <v>0.36199999999999999</v>
      </c>
      <c r="N179" s="6">
        <v>0.36199999999999999</v>
      </c>
      <c r="O179" s="6">
        <v>0.36199999999999999</v>
      </c>
      <c r="P179" s="6">
        <v>2</v>
      </c>
      <c r="Q179" s="4" t="s">
        <v>26</v>
      </c>
      <c r="R179" s="4">
        <v>0</v>
      </c>
      <c r="S179" s="4" t="s">
        <v>220</v>
      </c>
      <c r="T179" s="4" t="s">
        <v>343</v>
      </c>
      <c r="U179" s="4">
        <v>0</v>
      </c>
      <c r="V179" s="4">
        <v>32</v>
      </c>
      <c r="W179" s="4">
        <v>55</v>
      </c>
    </row>
    <row r="180" spans="1:23" ht="11.25" customHeight="1" x14ac:dyDescent="0.3">
      <c r="A180" s="4" t="s">
        <v>21</v>
      </c>
      <c r="B180" s="4" t="s">
        <v>31</v>
      </c>
      <c r="C180" s="4" t="s">
        <v>23</v>
      </c>
      <c r="D180" s="4" t="s">
        <v>32</v>
      </c>
      <c r="E180" s="4" t="s">
        <v>25</v>
      </c>
      <c r="F180" s="4" t="s">
        <v>25</v>
      </c>
      <c r="G180" s="4" t="s">
        <v>25</v>
      </c>
      <c r="H180" s="4" t="s">
        <v>25</v>
      </c>
      <c r="I180" s="5">
        <v>44501</v>
      </c>
      <c r="J180" s="6">
        <v>0</v>
      </c>
      <c r="K180" s="6">
        <v>0</v>
      </c>
      <c r="L180" s="6">
        <v>0.42</v>
      </c>
      <c r="M180" s="6">
        <v>0.42</v>
      </c>
      <c r="N180" s="6">
        <v>0.42</v>
      </c>
      <c r="O180" s="6">
        <v>0.42</v>
      </c>
      <c r="P180" s="6">
        <v>2</v>
      </c>
      <c r="Q180" s="4" t="s">
        <v>26</v>
      </c>
      <c r="R180" s="4">
        <v>0</v>
      </c>
      <c r="S180" s="4" t="s">
        <v>221</v>
      </c>
      <c r="T180" s="4" t="s">
        <v>344</v>
      </c>
      <c r="U180" s="4">
        <v>0</v>
      </c>
      <c r="V180" s="4">
        <v>32</v>
      </c>
      <c r="W180" s="4">
        <v>55</v>
      </c>
    </row>
    <row r="181" spans="1:23" ht="11.25" customHeight="1" x14ac:dyDescent="0.3">
      <c r="A181" s="4" t="s">
        <v>21</v>
      </c>
      <c r="B181" s="4" t="s">
        <v>31</v>
      </c>
      <c r="C181" s="4" t="s">
        <v>23</v>
      </c>
      <c r="D181" s="4" t="s">
        <v>32</v>
      </c>
      <c r="E181" s="4" t="s">
        <v>25</v>
      </c>
      <c r="F181" s="4" t="s">
        <v>25</v>
      </c>
      <c r="G181" s="4" t="s">
        <v>25</v>
      </c>
      <c r="H181" s="4" t="s">
        <v>25</v>
      </c>
      <c r="I181" s="5">
        <v>44531</v>
      </c>
      <c r="J181" s="6">
        <v>0</v>
      </c>
      <c r="K181" s="6">
        <v>0</v>
      </c>
      <c r="L181" s="6">
        <v>0.40100000000000002</v>
      </c>
      <c r="M181" s="6">
        <v>0.40100000000000002</v>
      </c>
      <c r="N181" s="6">
        <v>0.40100000000000002</v>
      </c>
      <c r="O181" s="6">
        <v>0.40100000000000002</v>
      </c>
      <c r="P181" s="6">
        <v>2</v>
      </c>
      <c r="Q181" s="4" t="s">
        <v>26</v>
      </c>
      <c r="R181" s="4">
        <v>0</v>
      </c>
      <c r="S181" s="4" t="s">
        <v>222</v>
      </c>
      <c r="T181" s="4" t="s">
        <v>345</v>
      </c>
      <c r="U181" s="4">
        <v>0</v>
      </c>
      <c r="V181" s="4">
        <v>32</v>
      </c>
      <c r="W181" s="4">
        <v>55</v>
      </c>
    </row>
    <row r="182" spans="1:23" ht="11.25" customHeight="1" x14ac:dyDescent="0.3">
      <c r="A182" s="4" t="s">
        <v>21</v>
      </c>
      <c r="B182" s="4" t="s">
        <v>31</v>
      </c>
      <c r="C182" s="4" t="s">
        <v>23</v>
      </c>
      <c r="D182" s="4" t="s">
        <v>32</v>
      </c>
      <c r="E182" s="4" t="s">
        <v>25</v>
      </c>
      <c r="F182" s="4" t="s">
        <v>25</v>
      </c>
      <c r="G182" s="4" t="s">
        <v>25</v>
      </c>
      <c r="H182" s="4" t="s">
        <v>25</v>
      </c>
      <c r="I182" s="5">
        <v>44562</v>
      </c>
      <c r="J182" s="6">
        <v>0</v>
      </c>
      <c r="K182" s="6">
        <v>0</v>
      </c>
      <c r="L182" s="6">
        <v>2.3570000000000002</v>
      </c>
      <c r="M182" s="6">
        <v>2.3570000000000002</v>
      </c>
      <c r="N182" s="6">
        <v>2.3570000000000002</v>
      </c>
      <c r="O182" s="6">
        <v>2.3570000000000002</v>
      </c>
      <c r="P182" s="6">
        <v>2</v>
      </c>
      <c r="Q182" s="4" t="s">
        <v>26</v>
      </c>
      <c r="R182" s="4">
        <v>0</v>
      </c>
      <c r="S182" s="4" t="s">
        <v>223</v>
      </c>
      <c r="T182" s="4" t="s">
        <v>346</v>
      </c>
      <c r="U182" s="4">
        <v>0</v>
      </c>
      <c r="V182" s="4">
        <v>32</v>
      </c>
      <c r="W182" s="4">
        <v>55</v>
      </c>
    </row>
    <row r="183" spans="1:23" ht="11.25" customHeight="1" x14ac:dyDescent="0.3">
      <c r="A183" s="4" t="s">
        <v>21</v>
      </c>
      <c r="B183" s="4" t="s">
        <v>31</v>
      </c>
      <c r="C183" s="4" t="s">
        <v>23</v>
      </c>
      <c r="D183" s="4" t="s">
        <v>32</v>
      </c>
      <c r="E183" s="4" t="s">
        <v>25</v>
      </c>
      <c r="F183" s="4" t="s">
        <v>25</v>
      </c>
      <c r="G183" s="4" t="s">
        <v>25</v>
      </c>
      <c r="H183" s="4" t="s">
        <v>25</v>
      </c>
      <c r="I183" s="5">
        <v>44593</v>
      </c>
      <c r="J183" s="6">
        <v>0</v>
      </c>
      <c r="K183" s="6">
        <v>0</v>
      </c>
      <c r="L183" s="6">
        <v>1.248</v>
      </c>
      <c r="M183" s="6">
        <v>1.248</v>
      </c>
      <c r="N183" s="6">
        <v>1.248</v>
      </c>
      <c r="O183" s="6">
        <v>1.248</v>
      </c>
      <c r="P183" s="6">
        <v>2</v>
      </c>
      <c r="Q183" s="4" t="s">
        <v>26</v>
      </c>
      <c r="R183" s="4">
        <v>0</v>
      </c>
      <c r="S183" s="4" t="s">
        <v>224</v>
      </c>
      <c r="T183" s="4" t="s">
        <v>347</v>
      </c>
      <c r="U183" s="4">
        <v>0</v>
      </c>
      <c r="V183" s="4">
        <v>32</v>
      </c>
      <c r="W183" s="4">
        <v>55</v>
      </c>
    </row>
    <row r="184" spans="1:23" ht="11.25" customHeight="1" x14ac:dyDescent="0.3">
      <c r="A184" s="4" t="s">
        <v>21</v>
      </c>
      <c r="B184" s="4" t="s">
        <v>31</v>
      </c>
      <c r="C184" s="4" t="s">
        <v>23</v>
      </c>
      <c r="D184" s="4" t="s">
        <v>32</v>
      </c>
      <c r="E184" s="4" t="s">
        <v>25</v>
      </c>
      <c r="F184" s="4" t="s">
        <v>25</v>
      </c>
      <c r="G184" s="4" t="s">
        <v>25</v>
      </c>
      <c r="H184" s="4" t="s">
        <v>25</v>
      </c>
      <c r="I184" s="5">
        <v>44621</v>
      </c>
      <c r="J184" s="6">
        <v>0</v>
      </c>
      <c r="K184" s="6">
        <v>0</v>
      </c>
      <c r="L184" s="6">
        <v>1.302</v>
      </c>
      <c r="M184" s="6">
        <v>1.302</v>
      </c>
      <c r="N184" s="6">
        <v>1.302</v>
      </c>
      <c r="O184" s="6">
        <v>1.302</v>
      </c>
      <c r="P184" s="6">
        <v>2</v>
      </c>
      <c r="Q184" s="4" t="s">
        <v>26</v>
      </c>
      <c r="R184" s="4">
        <v>0</v>
      </c>
      <c r="S184" s="4" t="s">
        <v>225</v>
      </c>
      <c r="T184" s="4" t="s">
        <v>348</v>
      </c>
      <c r="U184" s="4">
        <v>0</v>
      </c>
      <c r="V184" s="4">
        <v>32</v>
      </c>
      <c r="W184" s="4">
        <v>55</v>
      </c>
    </row>
    <row r="185" spans="1:23" ht="11.25" customHeight="1" x14ac:dyDescent="0.3">
      <c r="A185" s="4" t="s">
        <v>21</v>
      </c>
      <c r="B185" s="4" t="s">
        <v>31</v>
      </c>
      <c r="C185" s="4" t="s">
        <v>23</v>
      </c>
      <c r="D185" s="4" t="s">
        <v>32</v>
      </c>
      <c r="E185" s="4" t="s">
        <v>25</v>
      </c>
      <c r="F185" s="4" t="s">
        <v>25</v>
      </c>
      <c r="G185" s="4" t="s">
        <v>25</v>
      </c>
      <c r="H185" s="4" t="s">
        <v>25</v>
      </c>
      <c r="I185" s="5">
        <v>44652</v>
      </c>
      <c r="J185" s="6">
        <v>0</v>
      </c>
      <c r="K185" s="6">
        <v>0</v>
      </c>
      <c r="L185" s="6">
        <v>1.607</v>
      </c>
      <c r="M185" s="6">
        <v>1.607</v>
      </c>
      <c r="N185" s="6">
        <v>1.607</v>
      </c>
      <c r="O185" s="6">
        <v>1.607</v>
      </c>
      <c r="P185" s="6">
        <v>2</v>
      </c>
      <c r="Q185" s="4" t="s">
        <v>26</v>
      </c>
      <c r="R185" s="4">
        <v>0</v>
      </c>
      <c r="S185" s="4" t="s">
        <v>226</v>
      </c>
      <c r="T185" s="4" t="s">
        <v>349</v>
      </c>
      <c r="U185" s="4">
        <v>0</v>
      </c>
      <c r="V185" s="4">
        <v>32</v>
      </c>
      <c r="W185" s="4">
        <v>55</v>
      </c>
    </row>
    <row r="186" spans="1:23" ht="11.25" customHeight="1" x14ac:dyDescent="0.3">
      <c r="A186" s="4" t="s">
        <v>21</v>
      </c>
      <c r="B186" s="4" t="s">
        <v>31</v>
      </c>
      <c r="C186" s="4" t="s">
        <v>23</v>
      </c>
      <c r="D186" s="4" t="s">
        <v>32</v>
      </c>
      <c r="E186" s="4" t="s">
        <v>25</v>
      </c>
      <c r="F186" s="4" t="s">
        <v>25</v>
      </c>
      <c r="G186" s="4" t="s">
        <v>25</v>
      </c>
      <c r="H186" s="4" t="s">
        <v>25</v>
      </c>
      <c r="I186" s="5">
        <v>44682</v>
      </c>
      <c r="J186" s="6">
        <v>0</v>
      </c>
      <c r="K186" s="6">
        <v>0</v>
      </c>
      <c r="L186" s="6">
        <v>2.5099999999999998</v>
      </c>
      <c r="M186" s="6">
        <v>2.5099999999999998</v>
      </c>
      <c r="N186" s="6">
        <v>2.5099999999999998</v>
      </c>
      <c r="O186" s="6">
        <v>2.5099999999999998</v>
      </c>
      <c r="P186" s="6">
        <v>2</v>
      </c>
      <c r="Q186" s="4" t="s">
        <v>26</v>
      </c>
      <c r="R186" s="4">
        <v>0</v>
      </c>
      <c r="S186" s="4" t="s">
        <v>227</v>
      </c>
      <c r="T186" s="4" t="s">
        <v>350</v>
      </c>
      <c r="U186" s="4">
        <v>0</v>
      </c>
      <c r="V186" s="4">
        <v>32</v>
      </c>
      <c r="W186" s="4">
        <v>55</v>
      </c>
    </row>
    <row r="187" spans="1:23" ht="11.25" customHeight="1" x14ac:dyDescent="0.3">
      <c r="A187" s="4" t="s">
        <v>21</v>
      </c>
      <c r="B187" s="4" t="s">
        <v>31</v>
      </c>
      <c r="C187" s="4" t="s">
        <v>23</v>
      </c>
      <c r="D187" s="4" t="s">
        <v>32</v>
      </c>
      <c r="E187" s="4" t="s">
        <v>25</v>
      </c>
      <c r="F187" s="4" t="s">
        <v>25</v>
      </c>
      <c r="G187" s="4" t="s">
        <v>25</v>
      </c>
      <c r="H187" s="4" t="s">
        <v>25</v>
      </c>
      <c r="I187" s="5">
        <v>44713</v>
      </c>
      <c r="J187" s="6">
        <v>0</v>
      </c>
      <c r="K187" s="6">
        <v>0</v>
      </c>
      <c r="L187" s="6">
        <v>2.944</v>
      </c>
      <c r="M187" s="6">
        <v>2.944</v>
      </c>
      <c r="N187" s="6">
        <v>2.944</v>
      </c>
      <c r="O187" s="6">
        <v>2.944</v>
      </c>
      <c r="P187" s="6">
        <v>2</v>
      </c>
      <c r="Q187" s="4" t="s">
        <v>26</v>
      </c>
      <c r="R187" s="4">
        <v>0</v>
      </c>
      <c r="S187" s="4" t="s">
        <v>228</v>
      </c>
      <c r="T187" s="4" t="s">
        <v>351</v>
      </c>
      <c r="U187" s="4">
        <v>0</v>
      </c>
      <c r="V187" s="4">
        <v>32</v>
      </c>
      <c r="W187" s="4">
        <v>55</v>
      </c>
    </row>
    <row r="188" spans="1:23" ht="11.25" customHeight="1" x14ac:dyDescent="0.3">
      <c r="A188" s="4" t="s">
        <v>21</v>
      </c>
      <c r="B188" s="4" t="s">
        <v>31</v>
      </c>
      <c r="C188" s="4" t="s">
        <v>23</v>
      </c>
      <c r="D188" s="4" t="s">
        <v>32</v>
      </c>
      <c r="E188" s="4" t="s">
        <v>25</v>
      </c>
      <c r="F188" s="4" t="s">
        <v>25</v>
      </c>
      <c r="G188" s="4" t="s">
        <v>25</v>
      </c>
      <c r="H188" s="4" t="s">
        <v>25</v>
      </c>
      <c r="I188" s="5">
        <v>44743</v>
      </c>
      <c r="J188" s="6">
        <v>0</v>
      </c>
      <c r="K188" s="6">
        <v>0</v>
      </c>
      <c r="L188" s="6">
        <v>1.5209999999999999</v>
      </c>
      <c r="M188" s="6">
        <v>1.5209999999999999</v>
      </c>
      <c r="N188" s="6">
        <v>1.5209999999999999</v>
      </c>
      <c r="O188" s="6">
        <v>1.5209999999999999</v>
      </c>
      <c r="P188" s="6">
        <v>2</v>
      </c>
      <c r="Q188" s="4" t="s">
        <v>26</v>
      </c>
      <c r="R188" s="4">
        <v>0</v>
      </c>
      <c r="S188" s="4" t="s">
        <v>229</v>
      </c>
      <c r="T188" s="4" t="s">
        <v>352</v>
      </c>
      <c r="U188" s="4">
        <v>0</v>
      </c>
      <c r="V188" s="4">
        <v>32</v>
      </c>
      <c r="W188" s="4">
        <v>55</v>
      </c>
    </row>
    <row r="189" spans="1:23" ht="11.25" customHeight="1" x14ac:dyDescent="0.3">
      <c r="A189" s="4" t="s">
        <v>21</v>
      </c>
      <c r="B189" s="4" t="s">
        <v>31</v>
      </c>
      <c r="C189" s="4" t="s">
        <v>23</v>
      </c>
      <c r="D189" s="4" t="s">
        <v>32</v>
      </c>
      <c r="E189" s="4" t="s">
        <v>25</v>
      </c>
      <c r="F189" s="4" t="s">
        <v>25</v>
      </c>
      <c r="G189" s="4" t="s">
        <v>25</v>
      </c>
      <c r="H189" s="4" t="s">
        <v>25</v>
      </c>
      <c r="I189" s="5">
        <v>44774</v>
      </c>
      <c r="J189" s="6">
        <v>0</v>
      </c>
      <c r="K189" s="6">
        <v>0</v>
      </c>
      <c r="L189" s="6">
        <v>0.22600000000000001</v>
      </c>
      <c r="M189" s="6">
        <v>0.22600000000000001</v>
      </c>
      <c r="N189" s="6">
        <v>0.22600000000000001</v>
      </c>
      <c r="O189" s="6">
        <v>0.22600000000000001</v>
      </c>
      <c r="P189" s="6">
        <v>2</v>
      </c>
      <c r="Q189" s="4" t="s">
        <v>26</v>
      </c>
      <c r="R189" s="4">
        <v>0</v>
      </c>
      <c r="S189" s="4" t="s">
        <v>230</v>
      </c>
      <c r="T189" s="4" t="s">
        <v>353</v>
      </c>
      <c r="U189" s="4">
        <v>0</v>
      </c>
      <c r="V189" s="4">
        <v>32</v>
      </c>
      <c r="W189" s="4">
        <v>55</v>
      </c>
    </row>
    <row r="190" spans="1:23" ht="11.25" customHeight="1" x14ac:dyDescent="0.3">
      <c r="A190" s="4" t="s">
        <v>21</v>
      </c>
      <c r="B190" s="4" t="s">
        <v>31</v>
      </c>
      <c r="C190" s="4" t="s">
        <v>23</v>
      </c>
      <c r="D190" s="4" t="s">
        <v>42</v>
      </c>
      <c r="E190" s="4" t="s">
        <v>25</v>
      </c>
      <c r="F190" s="4" t="s">
        <v>25</v>
      </c>
      <c r="G190" s="4" t="s">
        <v>25</v>
      </c>
      <c r="H190" s="4" t="s">
        <v>25</v>
      </c>
      <c r="I190" s="5">
        <v>44440</v>
      </c>
      <c r="J190" s="6">
        <v>0</v>
      </c>
      <c r="K190" s="6">
        <v>0</v>
      </c>
      <c r="L190" s="6">
        <v>0.82399999999999995</v>
      </c>
      <c r="M190" s="6">
        <v>0.82399999999999995</v>
      </c>
      <c r="N190" s="6">
        <v>0.82399999999999995</v>
      </c>
      <c r="O190" s="6">
        <v>0.82399999999999995</v>
      </c>
      <c r="P190" s="6">
        <v>17</v>
      </c>
      <c r="Q190" s="4" t="s">
        <v>26</v>
      </c>
      <c r="R190" s="4">
        <v>0</v>
      </c>
      <c r="S190" s="4" t="s">
        <v>219</v>
      </c>
      <c r="T190" s="4" t="s">
        <v>342</v>
      </c>
      <c r="U190" s="4">
        <v>0</v>
      </c>
      <c r="V190" s="4">
        <v>32</v>
      </c>
      <c r="W190" s="4">
        <v>55</v>
      </c>
    </row>
    <row r="191" spans="1:23" ht="11.25" customHeight="1" x14ac:dyDescent="0.3">
      <c r="A191" s="4" t="s">
        <v>21</v>
      </c>
      <c r="B191" s="4" t="s">
        <v>31</v>
      </c>
      <c r="C191" s="4" t="s">
        <v>23</v>
      </c>
      <c r="D191" s="4" t="s">
        <v>42</v>
      </c>
      <c r="E191" s="4" t="s">
        <v>25</v>
      </c>
      <c r="F191" s="4" t="s">
        <v>25</v>
      </c>
      <c r="G191" s="4" t="s">
        <v>25</v>
      </c>
      <c r="H191" s="4" t="s">
        <v>25</v>
      </c>
      <c r="I191" s="5">
        <v>44470</v>
      </c>
      <c r="J191" s="6">
        <v>0</v>
      </c>
      <c r="K191" s="6">
        <v>0</v>
      </c>
      <c r="L191" s="6">
        <v>0.81100000000000005</v>
      </c>
      <c r="M191" s="6">
        <v>0.81100000000000005</v>
      </c>
      <c r="N191" s="6">
        <v>0.81100000000000005</v>
      </c>
      <c r="O191" s="6">
        <v>0.81100000000000005</v>
      </c>
      <c r="P191" s="6">
        <v>17</v>
      </c>
      <c r="Q191" s="4" t="s">
        <v>26</v>
      </c>
      <c r="R191" s="4">
        <v>0</v>
      </c>
      <c r="S191" s="4" t="s">
        <v>220</v>
      </c>
      <c r="T191" s="4" t="s">
        <v>343</v>
      </c>
      <c r="U191" s="4">
        <v>0</v>
      </c>
      <c r="V191" s="4">
        <v>32</v>
      </c>
      <c r="W191" s="4">
        <v>55</v>
      </c>
    </row>
    <row r="192" spans="1:23" ht="11.25" customHeight="1" x14ac:dyDescent="0.3">
      <c r="A192" s="4" t="s">
        <v>21</v>
      </c>
      <c r="B192" s="4" t="s">
        <v>31</v>
      </c>
      <c r="C192" s="4" t="s">
        <v>23</v>
      </c>
      <c r="D192" s="4" t="s">
        <v>42</v>
      </c>
      <c r="E192" s="4" t="s">
        <v>25</v>
      </c>
      <c r="F192" s="4" t="s">
        <v>25</v>
      </c>
      <c r="G192" s="4" t="s">
        <v>25</v>
      </c>
      <c r="H192" s="4" t="s">
        <v>25</v>
      </c>
      <c r="I192" s="5">
        <v>44501</v>
      </c>
      <c r="J192" s="6">
        <v>0</v>
      </c>
      <c r="K192" s="6">
        <v>0</v>
      </c>
      <c r="L192" s="6">
        <v>0.88600000000000001</v>
      </c>
      <c r="M192" s="6">
        <v>0.88600000000000001</v>
      </c>
      <c r="N192" s="6">
        <v>0.88600000000000001</v>
      </c>
      <c r="O192" s="6">
        <v>0.88600000000000001</v>
      </c>
      <c r="P192" s="6">
        <v>17</v>
      </c>
      <c r="Q192" s="4" t="s">
        <v>26</v>
      </c>
      <c r="R192" s="4">
        <v>0</v>
      </c>
      <c r="S192" s="4" t="s">
        <v>221</v>
      </c>
      <c r="T192" s="4" t="s">
        <v>344</v>
      </c>
      <c r="U192" s="4">
        <v>0</v>
      </c>
      <c r="V192" s="4">
        <v>32</v>
      </c>
      <c r="W192" s="4">
        <v>55</v>
      </c>
    </row>
    <row r="193" spans="1:23" ht="11.25" customHeight="1" x14ac:dyDescent="0.3">
      <c r="A193" s="4" t="s">
        <v>21</v>
      </c>
      <c r="B193" s="4" t="s">
        <v>31</v>
      </c>
      <c r="C193" s="4" t="s">
        <v>23</v>
      </c>
      <c r="D193" s="4" t="s">
        <v>42</v>
      </c>
      <c r="E193" s="4" t="s">
        <v>25</v>
      </c>
      <c r="F193" s="4" t="s">
        <v>25</v>
      </c>
      <c r="G193" s="4" t="s">
        <v>25</v>
      </c>
      <c r="H193" s="4" t="s">
        <v>25</v>
      </c>
      <c r="I193" s="5">
        <v>44531</v>
      </c>
      <c r="J193" s="6">
        <v>0</v>
      </c>
      <c r="K193" s="6">
        <v>0</v>
      </c>
      <c r="L193" s="6">
        <v>0.85299999999999998</v>
      </c>
      <c r="M193" s="6">
        <v>0.85299999999999998</v>
      </c>
      <c r="N193" s="6">
        <v>0.85299999999999998</v>
      </c>
      <c r="O193" s="6">
        <v>0.85299999999999998</v>
      </c>
      <c r="P193" s="6">
        <v>17</v>
      </c>
      <c r="Q193" s="4" t="s">
        <v>26</v>
      </c>
      <c r="R193" s="4">
        <v>0</v>
      </c>
      <c r="S193" s="4" t="s">
        <v>222</v>
      </c>
      <c r="T193" s="4" t="s">
        <v>345</v>
      </c>
      <c r="U193" s="4">
        <v>0</v>
      </c>
      <c r="V193" s="4">
        <v>32</v>
      </c>
      <c r="W193" s="4">
        <v>55</v>
      </c>
    </row>
    <row r="194" spans="1:23" ht="11.25" customHeight="1" x14ac:dyDescent="0.3">
      <c r="A194" s="4" t="s">
        <v>21</v>
      </c>
      <c r="B194" s="4" t="s">
        <v>31</v>
      </c>
      <c r="C194" s="4" t="s">
        <v>23</v>
      </c>
      <c r="D194" s="4" t="s">
        <v>42</v>
      </c>
      <c r="E194" s="4" t="s">
        <v>25</v>
      </c>
      <c r="F194" s="4" t="s">
        <v>25</v>
      </c>
      <c r="G194" s="4" t="s">
        <v>25</v>
      </c>
      <c r="H194" s="4" t="s">
        <v>25</v>
      </c>
      <c r="I194" s="5">
        <v>44562</v>
      </c>
      <c r="J194" s="6">
        <v>0</v>
      </c>
      <c r="K194" s="6">
        <v>0</v>
      </c>
      <c r="L194" s="6">
        <v>0.82899999999999996</v>
      </c>
      <c r="M194" s="6">
        <v>0.82899999999999996</v>
      </c>
      <c r="N194" s="6">
        <v>0.82899999999999996</v>
      </c>
      <c r="O194" s="6">
        <v>0.82899999999999996</v>
      </c>
      <c r="P194" s="6">
        <v>17</v>
      </c>
      <c r="Q194" s="4" t="s">
        <v>26</v>
      </c>
      <c r="R194" s="4">
        <v>0</v>
      </c>
      <c r="S194" s="4" t="s">
        <v>223</v>
      </c>
      <c r="T194" s="4" t="s">
        <v>346</v>
      </c>
      <c r="U194" s="4">
        <v>0</v>
      </c>
      <c r="V194" s="4">
        <v>32</v>
      </c>
      <c r="W194" s="4">
        <v>55</v>
      </c>
    </row>
    <row r="195" spans="1:23" ht="11.25" customHeight="1" x14ac:dyDescent="0.3">
      <c r="A195" s="4" t="s">
        <v>21</v>
      </c>
      <c r="B195" s="4" t="s">
        <v>31</v>
      </c>
      <c r="C195" s="4" t="s">
        <v>23</v>
      </c>
      <c r="D195" s="4" t="s">
        <v>42</v>
      </c>
      <c r="E195" s="4" t="s">
        <v>25</v>
      </c>
      <c r="F195" s="4" t="s">
        <v>25</v>
      </c>
      <c r="G195" s="4" t="s">
        <v>25</v>
      </c>
      <c r="H195" s="4" t="s">
        <v>25</v>
      </c>
      <c r="I195" s="5">
        <v>44593</v>
      </c>
      <c r="J195" s="6">
        <v>0</v>
      </c>
      <c r="K195" s="6">
        <v>0</v>
      </c>
      <c r="L195" s="6">
        <v>0.90100000000000002</v>
      </c>
      <c r="M195" s="6">
        <v>0.90100000000000002</v>
      </c>
      <c r="N195" s="6">
        <v>0.90100000000000002</v>
      </c>
      <c r="O195" s="6">
        <v>0.90100000000000002</v>
      </c>
      <c r="P195" s="6">
        <v>17</v>
      </c>
      <c r="Q195" s="4" t="s">
        <v>26</v>
      </c>
      <c r="R195" s="4">
        <v>0</v>
      </c>
      <c r="S195" s="4" t="s">
        <v>224</v>
      </c>
      <c r="T195" s="4" t="s">
        <v>347</v>
      </c>
      <c r="U195" s="4">
        <v>0</v>
      </c>
      <c r="V195" s="4">
        <v>32</v>
      </c>
      <c r="W195" s="4">
        <v>55</v>
      </c>
    </row>
    <row r="196" spans="1:23" ht="11.25" customHeight="1" x14ac:dyDescent="0.3">
      <c r="A196" s="4" t="s">
        <v>21</v>
      </c>
      <c r="B196" s="4" t="s">
        <v>31</v>
      </c>
      <c r="C196" s="4" t="s">
        <v>23</v>
      </c>
      <c r="D196" s="4" t="s">
        <v>42</v>
      </c>
      <c r="E196" s="4" t="s">
        <v>25</v>
      </c>
      <c r="F196" s="4" t="s">
        <v>25</v>
      </c>
      <c r="G196" s="4" t="s">
        <v>25</v>
      </c>
      <c r="H196" s="4" t="s">
        <v>25</v>
      </c>
      <c r="I196" s="5">
        <v>44621</v>
      </c>
      <c r="J196" s="6">
        <v>0</v>
      </c>
      <c r="K196" s="6">
        <v>0</v>
      </c>
      <c r="L196" s="6">
        <v>0.90500000000000003</v>
      </c>
      <c r="M196" s="6">
        <v>0.90500000000000003</v>
      </c>
      <c r="N196" s="6">
        <v>0.90500000000000003</v>
      </c>
      <c r="O196" s="6">
        <v>0.90500000000000003</v>
      </c>
      <c r="P196" s="6">
        <v>17</v>
      </c>
      <c r="Q196" s="4" t="s">
        <v>26</v>
      </c>
      <c r="R196" s="4">
        <v>0</v>
      </c>
      <c r="S196" s="4" t="s">
        <v>225</v>
      </c>
      <c r="T196" s="4" t="s">
        <v>348</v>
      </c>
      <c r="U196" s="4">
        <v>0</v>
      </c>
      <c r="V196" s="4">
        <v>32</v>
      </c>
      <c r="W196" s="4">
        <v>55</v>
      </c>
    </row>
    <row r="197" spans="1:23" ht="11.25" customHeight="1" x14ac:dyDescent="0.3">
      <c r="A197" s="4" t="s">
        <v>21</v>
      </c>
      <c r="B197" s="4" t="s">
        <v>31</v>
      </c>
      <c r="C197" s="4" t="s">
        <v>23</v>
      </c>
      <c r="D197" s="4" t="s">
        <v>42</v>
      </c>
      <c r="E197" s="4" t="s">
        <v>25</v>
      </c>
      <c r="F197" s="4" t="s">
        <v>25</v>
      </c>
      <c r="G197" s="4" t="s">
        <v>25</v>
      </c>
      <c r="H197" s="4" t="s">
        <v>25</v>
      </c>
      <c r="I197" s="5">
        <v>44652</v>
      </c>
      <c r="J197" s="6">
        <v>0</v>
      </c>
      <c r="K197" s="6">
        <v>0</v>
      </c>
      <c r="L197" s="6">
        <v>0.84099999999999997</v>
      </c>
      <c r="M197" s="6">
        <v>0.84099999999999997</v>
      </c>
      <c r="N197" s="6">
        <v>0.84099999999999997</v>
      </c>
      <c r="O197" s="6">
        <v>0.84099999999999997</v>
      </c>
      <c r="P197" s="6">
        <v>17</v>
      </c>
      <c r="Q197" s="4" t="s">
        <v>26</v>
      </c>
      <c r="R197" s="4">
        <v>0</v>
      </c>
      <c r="S197" s="4" t="s">
        <v>226</v>
      </c>
      <c r="T197" s="4" t="s">
        <v>349</v>
      </c>
      <c r="U197" s="4">
        <v>0</v>
      </c>
      <c r="V197" s="4">
        <v>32</v>
      </c>
      <c r="W197" s="4">
        <v>55</v>
      </c>
    </row>
    <row r="198" spans="1:23" ht="11.25" customHeight="1" x14ac:dyDescent="0.3">
      <c r="A198" s="4" t="s">
        <v>21</v>
      </c>
      <c r="B198" s="4" t="s">
        <v>31</v>
      </c>
      <c r="C198" s="4" t="s">
        <v>23</v>
      </c>
      <c r="D198" s="4" t="s">
        <v>42</v>
      </c>
      <c r="E198" s="4" t="s">
        <v>25</v>
      </c>
      <c r="F198" s="4" t="s">
        <v>25</v>
      </c>
      <c r="G198" s="4" t="s">
        <v>25</v>
      </c>
      <c r="H198" s="4" t="s">
        <v>25</v>
      </c>
      <c r="I198" s="5">
        <v>44682</v>
      </c>
      <c r="J198" s="6">
        <v>0</v>
      </c>
      <c r="K198" s="6">
        <v>0</v>
      </c>
      <c r="L198" s="6">
        <v>0.86399999999999999</v>
      </c>
      <c r="M198" s="6">
        <v>0.86399999999999999</v>
      </c>
      <c r="N198" s="6">
        <v>0.86399999999999999</v>
      </c>
      <c r="O198" s="6">
        <v>0.86399999999999999</v>
      </c>
      <c r="P198" s="6">
        <v>17</v>
      </c>
      <c r="Q198" s="4" t="s">
        <v>26</v>
      </c>
      <c r="R198" s="4">
        <v>0</v>
      </c>
      <c r="S198" s="4" t="s">
        <v>227</v>
      </c>
      <c r="T198" s="4" t="s">
        <v>350</v>
      </c>
      <c r="U198" s="4">
        <v>0</v>
      </c>
      <c r="V198" s="4">
        <v>32</v>
      </c>
      <c r="W198" s="4">
        <v>55</v>
      </c>
    </row>
    <row r="199" spans="1:23" ht="11.25" customHeight="1" x14ac:dyDescent="0.3">
      <c r="A199" s="4" t="s">
        <v>21</v>
      </c>
      <c r="B199" s="4" t="s">
        <v>31</v>
      </c>
      <c r="C199" s="4" t="s">
        <v>23</v>
      </c>
      <c r="D199" s="4" t="s">
        <v>42</v>
      </c>
      <c r="E199" s="4" t="s">
        <v>25</v>
      </c>
      <c r="F199" s="4" t="s">
        <v>25</v>
      </c>
      <c r="G199" s="4" t="s">
        <v>25</v>
      </c>
      <c r="H199" s="4" t="s">
        <v>25</v>
      </c>
      <c r="I199" s="5">
        <v>44713</v>
      </c>
      <c r="J199" s="6">
        <v>0</v>
      </c>
      <c r="K199" s="6">
        <v>0</v>
      </c>
      <c r="L199" s="6">
        <v>0.751</v>
      </c>
      <c r="M199" s="6">
        <v>0.751</v>
      </c>
      <c r="N199" s="6">
        <v>0.751</v>
      </c>
      <c r="O199" s="6">
        <v>0.751</v>
      </c>
      <c r="P199" s="6">
        <v>17</v>
      </c>
      <c r="Q199" s="4" t="s">
        <v>26</v>
      </c>
      <c r="R199" s="4">
        <v>0</v>
      </c>
      <c r="S199" s="4" t="s">
        <v>228</v>
      </c>
      <c r="T199" s="4" t="s">
        <v>351</v>
      </c>
      <c r="U199" s="4">
        <v>0</v>
      </c>
      <c r="V199" s="4">
        <v>32</v>
      </c>
      <c r="W199" s="4">
        <v>55</v>
      </c>
    </row>
    <row r="200" spans="1:23" ht="11.25" customHeight="1" x14ac:dyDescent="0.3">
      <c r="A200" s="4" t="s">
        <v>21</v>
      </c>
      <c r="B200" s="4" t="s">
        <v>31</v>
      </c>
      <c r="C200" s="4" t="s">
        <v>23</v>
      </c>
      <c r="D200" s="4" t="s">
        <v>42</v>
      </c>
      <c r="E200" s="4" t="s">
        <v>25</v>
      </c>
      <c r="F200" s="4" t="s">
        <v>25</v>
      </c>
      <c r="G200" s="4" t="s">
        <v>25</v>
      </c>
      <c r="H200" s="4" t="s">
        <v>25</v>
      </c>
      <c r="I200" s="5">
        <v>44743</v>
      </c>
      <c r="J200" s="6">
        <v>0</v>
      </c>
      <c r="K200" s="6">
        <v>0</v>
      </c>
      <c r="L200" s="6">
        <v>0.872</v>
      </c>
      <c r="M200" s="6">
        <v>0.872</v>
      </c>
      <c r="N200" s="6">
        <v>0.872</v>
      </c>
      <c r="O200" s="6">
        <v>0.872</v>
      </c>
      <c r="P200" s="6">
        <v>17</v>
      </c>
      <c r="Q200" s="4" t="s">
        <v>26</v>
      </c>
      <c r="R200" s="4">
        <v>0</v>
      </c>
      <c r="S200" s="4" t="s">
        <v>229</v>
      </c>
      <c r="T200" s="4" t="s">
        <v>352</v>
      </c>
      <c r="U200" s="4">
        <v>0</v>
      </c>
      <c r="V200" s="4">
        <v>32</v>
      </c>
      <c r="W200" s="4">
        <v>55</v>
      </c>
    </row>
    <row r="201" spans="1:23" ht="11.25" customHeight="1" x14ac:dyDescent="0.3">
      <c r="A201" s="4" t="s">
        <v>21</v>
      </c>
      <c r="B201" s="4" t="s">
        <v>31</v>
      </c>
      <c r="C201" s="4" t="s">
        <v>23</v>
      </c>
      <c r="D201" s="4" t="s">
        <v>42</v>
      </c>
      <c r="E201" s="4" t="s">
        <v>25</v>
      </c>
      <c r="F201" s="4" t="s">
        <v>25</v>
      </c>
      <c r="G201" s="4" t="s">
        <v>25</v>
      </c>
      <c r="H201" s="4" t="s">
        <v>25</v>
      </c>
      <c r="I201" s="5">
        <v>44774</v>
      </c>
      <c r="J201" s="6">
        <v>0</v>
      </c>
      <c r="K201" s="6">
        <v>0</v>
      </c>
      <c r="L201" s="6">
        <v>0.86499999999999999</v>
      </c>
      <c r="M201" s="6">
        <v>0.86499999999999999</v>
      </c>
      <c r="N201" s="6">
        <v>0.86499999999999999</v>
      </c>
      <c r="O201" s="6">
        <v>0.86499999999999999</v>
      </c>
      <c r="P201" s="6">
        <v>17</v>
      </c>
      <c r="Q201" s="4" t="s">
        <v>26</v>
      </c>
      <c r="R201" s="4">
        <v>0</v>
      </c>
      <c r="S201" s="4" t="s">
        <v>230</v>
      </c>
      <c r="T201" s="4" t="s">
        <v>353</v>
      </c>
      <c r="U201" s="4">
        <v>0</v>
      </c>
      <c r="V201" s="4">
        <v>32</v>
      </c>
      <c r="W201" s="4">
        <v>55</v>
      </c>
    </row>
    <row r="202" spans="1:23" ht="11.25" customHeight="1" x14ac:dyDescent="0.3">
      <c r="A202" s="4" t="s">
        <v>21</v>
      </c>
      <c r="B202" s="4" t="s">
        <v>31</v>
      </c>
      <c r="C202" s="4" t="s">
        <v>23</v>
      </c>
      <c r="D202" s="4" t="s">
        <v>46</v>
      </c>
      <c r="E202" s="4" t="s">
        <v>47</v>
      </c>
      <c r="F202" s="4" t="s">
        <v>25</v>
      </c>
      <c r="G202" s="4" t="s">
        <v>25</v>
      </c>
      <c r="H202" s="4" t="s">
        <v>25</v>
      </c>
      <c r="I202" s="5">
        <v>44440</v>
      </c>
      <c r="J202" s="6">
        <v>0</v>
      </c>
      <c r="K202" s="6">
        <v>0</v>
      </c>
      <c r="L202" s="6">
        <v>0.79900000000000004</v>
      </c>
      <c r="M202" s="6">
        <v>0.75105999999999995</v>
      </c>
      <c r="N202" s="6">
        <v>0.79900000000000004</v>
      </c>
      <c r="O202" s="6">
        <v>0.75105999999999995</v>
      </c>
      <c r="P202" s="6">
        <v>2</v>
      </c>
      <c r="Q202" s="4" t="s">
        <v>26</v>
      </c>
      <c r="R202" s="4">
        <v>0</v>
      </c>
      <c r="S202" s="4" t="s">
        <v>219</v>
      </c>
      <c r="T202" s="4" t="s">
        <v>342</v>
      </c>
      <c r="U202" s="4">
        <v>0</v>
      </c>
      <c r="V202" s="4">
        <v>32</v>
      </c>
      <c r="W202" s="4">
        <v>55</v>
      </c>
    </row>
    <row r="203" spans="1:23" ht="11.25" customHeight="1" x14ac:dyDescent="0.3">
      <c r="A203" s="4" t="s">
        <v>21</v>
      </c>
      <c r="B203" s="4" t="s">
        <v>31</v>
      </c>
      <c r="C203" s="4" t="s">
        <v>23</v>
      </c>
      <c r="D203" s="4" t="s">
        <v>46</v>
      </c>
      <c r="E203" s="4" t="s">
        <v>47</v>
      </c>
      <c r="F203" s="4" t="s">
        <v>25</v>
      </c>
      <c r="G203" s="4" t="s">
        <v>25</v>
      </c>
      <c r="H203" s="4" t="s">
        <v>25</v>
      </c>
      <c r="I203" s="5">
        <v>44470</v>
      </c>
      <c r="J203" s="6">
        <v>0</v>
      </c>
      <c r="K203" s="6">
        <v>0</v>
      </c>
      <c r="L203" s="6">
        <v>0.68899999999999995</v>
      </c>
      <c r="M203" s="6">
        <v>0.6476599999999999</v>
      </c>
      <c r="N203" s="6">
        <v>0.68899999999999995</v>
      </c>
      <c r="O203" s="6">
        <v>0.6476599999999999</v>
      </c>
      <c r="P203" s="6">
        <v>2</v>
      </c>
      <c r="Q203" s="4" t="s">
        <v>26</v>
      </c>
      <c r="R203" s="4">
        <v>0</v>
      </c>
      <c r="S203" s="4" t="s">
        <v>220</v>
      </c>
      <c r="T203" s="4" t="s">
        <v>343</v>
      </c>
      <c r="U203" s="4">
        <v>0</v>
      </c>
      <c r="V203" s="4">
        <v>32</v>
      </c>
      <c r="W203" s="4">
        <v>55</v>
      </c>
    </row>
    <row r="204" spans="1:23" ht="11.25" customHeight="1" x14ac:dyDescent="0.3">
      <c r="A204" s="4" t="s">
        <v>21</v>
      </c>
      <c r="B204" s="4" t="s">
        <v>31</v>
      </c>
      <c r="C204" s="4" t="s">
        <v>23</v>
      </c>
      <c r="D204" s="4" t="s">
        <v>46</v>
      </c>
      <c r="E204" s="4" t="s">
        <v>47</v>
      </c>
      <c r="F204" s="4" t="s">
        <v>25</v>
      </c>
      <c r="G204" s="4" t="s">
        <v>25</v>
      </c>
      <c r="H204" s="4" t="s">
        <v>25</v>
      </c>
      <c r="I204" s="5">
        <v>44501</v>
      </c>
      <c r="J204" s="6">
        <v>0</v>
      </c>
      <c r="K204" s="6">
        <v>0</v>
      </c>
      <c r="L204" s="6">
        <v>0.83799999999999997</v>
      </c>
      <c r="M204" s="6">
        <v>0.78771999999999998</v>
      </c>
      <c r="N204" s="6">
        <v>0.83799999999999997</v>
      </c>
      <c r="O204" s="6">
        <v>0.78771999999999998</v>
      </c>
      <c r="P204" s="6">
        <v>2</v>
      </c>
      <c r="Q204" s="4" t="s">
        <v>26</v>
      </c>
      <c r="R204" s="4">
        <v>0</v>
      </c>
      <c r="S204" s="4" t="s">
        <v>221</v>
      </c>
      <c r="T204" s="4" t="s">
        <v>344</v>
      </c>
      <c r="U204" s="4">
        <v>0</v>
      </c>
      <c r="V204" s="4">
        <v>32</v>
      </c>
      <c r="W204" s="4">
        <v>55</v>
      </c>
    </row>
    <row r="205" spans="1:23" ht="11.25" customHeight="1" x14ac:dyDescent="0.3">
      <c r="A205" s="4" t="s">
        <v>21</v>
      </c>
      <c r="B205" s="4" t="s">
        <v>31</v>
      </c>
      <c r="C205" s="4" t="s">
        <v>23</v>
      </c>
      <c r="D205" s="4" t="s">
        <v>46</v>
      </c>
      <c r="E205" s="4" t="s">
        <v>47</v>
      </c>
      <c r="F205" s="4" t="s">
        <v>25</v>
      </c>
      <c r="G205" s="4" t="s">
        <v>25</v>
      </c>
      <c r="H205" s="4" t="s">
        <v>25</v>
      </c>
      <c r="I205" s="5">
        <v>44531</v>
      </c>
      <c r="J205" s="6">
        <v>0</v>
      </c>
      <c r="K205" s="6">
        <v>0</v>
      </c>
      <c r="L205" s="6">
        <v>0.78700000000000003</v>
      </c>
      <c r="M205" s="6">
        <v>0.73977999999999999</v>
      </c>
      <c r="N205" s="6">
        <v>0.78700000000000003</v>
      </c>
      <c r="O205" s="6">
        <v>0.73977999999999999</v>
      </c>
      <c r="P205" s="6">
        <v>2</v>
      </c>
      <c r="Q205" s="4" t="s">
        <v>26</v>
      </c>
      <c r="R205" s="4">
        <v>0</v>
      </c>
      <c r="S205" s="4" t="s">
        <v>222</v>
      </c>
      <c r="T205" s="4" t="s">
        <v>345</v>
      </c>
      <c r="U205" s="4">
        <v>0</v>
      </c>
      <c r="V205" s="4">
        <v>32</v>
      </c>
      <c r="W205" s="4">
        <v>55</v>
      </c>
    </row>
    <row r="206" spans="1:23" ht="11.25" customHeight="1" x14ac:dyDescent="0.3">
      <c r="A206" s="4" t="s">
        <v>21</v>
      </c>
      <c r="B206" s="4" t="s">
        <v>31</v>
      </c>
      <c r="C206" s="4" t="s">
        <v>23</v>
      </c>
      <c r="D206" s="4" t="s">
        <v>46</v>
      </c>
      <c r="E206" s="4" t="s">
        <v>47</v>
      </c>
      <c r="F206" s="4" t="s">
        <v>25</v>
      </c>
      <c r="G206" s="4" t="s">
        <v>25</v>
      </c>
      <c r="H206" s="4" t="s">
        <v>25</v>
      </c>
      <c r="I206" s="5">
        <v>44562</v>
      </c>
      <c r="J206" s="6">
        <v>0</v>
      </c>
      <c r="K206" s="6">
        <v>0</v>
      </c>
      <c r="L206" s="6">
        <v>0.80200000000000005</v>
      </c>
      <c r="M206" s="6">
        <v>0.75387999999999999</v>
      </c>
      <c r="N206" s="6">
        <v>0.80200000000000005</v>
      </c>
      <c r="O206" s="6">
        <v>0.75387999999999999</v>
      </c>
      <c r="P206" s="6">
        <v>2</v>
      </c>
      <c r="Q206" s="4" t="s">
        <v>26</v>
      </c>
      <c r="R206" s="4">
        <v>0</v>
      </c>
      <c r="S206" s="4" t="s">
        <v>223</v>
      </c>
      <c r="T206" s="4" t="s">
        <v>346</v>
      </c>
      <c r="U206" s="4">
        <v>0</v>
      </c>
      <c r="V206" s="4">
        <v>32</v>
      </c>
      <c r="W206" s="4">
        <v>55</v>
      </c>
    </row>
    <row r="207" spans="1:23" ht="11.25" customHeight="1" x14ac:dyDescent="0.3">
      <c r="A207" s="4" t="s">
        <v>21</v>
      </c>
      <c r="B207" s="4" t="s">
        <v>31</v>
      </c>
      <c r="C207" s="4" t="s">
        <v>23</v>
      </c>
      <c r="D207" s="4" t="s">
        <v>46</v>
      </c>
      <c r="E207" s="4" t="s">
        <v>47</v>
      </c>
      <c r="F207" s="4" t="s">
        <v>25</v>
      </c>
      <c r="G207" s="4" t="s">
        <v>25</v>
      </c>
      <c r="H207" s="4" t="s">
        <v>25</v>
      </c>
      <c r="I207" s="5">
        <v>44593</v>
      </c>
      <c r="J207" s="6">
        <v>0</v>
      </c>
      <c r="K207" s="6">
        <v>0</v>
      </c>
      <c r="L207" s="6">
        <v>0.71099999999999997</v>
      </c>
      <c r="M207" s="6">
        <v>0.66833999999999993</v>
      </c>
      <c r="N207" s="6">
        <v>0.71099999999999997</v>
      </c>
      <c r="O207" s="6">
        <v>0.66833999999999993</v>
      </c>
      <c r="P207" s="6">
        <v>2</v>
      </c>
      <c r="Q207" s="4" t="s">
        <v>26</v>
      </c>
      <c r="R207" s="4">
        <v>0</v>
      </c>
      <c r="S207" s="4" t="s">
        <v>224</v>
      </c>
      <c r="T207" s="4" t="s">
        <v>347</v>
      </c>
      <c r="U207" s="4">
        <v>0</v>
      </c>
      <c r="V207" s="4">
        <v>32</v>
      </c>
      <c r="W207" s="4">
        <v>55</v>
      </c>
    </row>
    <row r="208" spans="1:23" ht="11.25" customHeight="1" x14ac:dyDescent="0.3">
      <c r="A208" s="4" t="s">
        <v>21</v>
      </c>
      <c r="B208" s="4" t="s">
        <v>31</v>
      </c>
      <c r="C208" s="4" t="s">
        <v>23</v>
      </c>
      <c r="D208" s="4" t="s">
        <v>46</v>
      </c>
      <c r="E208" s="4" t="s">
        <v>47</v>
      </c>
      <c r="F208" s="4" t="s">
        <v>25</v>
      </c>
      <c r="G208" s="4" t="s">
        <v>25</v>
      </c>
      <c r="H208" s="4" t="s">
        <v>25</v>
      </c>
      <c r="I208" s="5">
        <v>44621</v>
      </c>
      <c r="J208" s="6">
        <v>0</v>
      </c>
      <c r="K208" s="6">
        <v>0</v>
      </c>
      <c r="L208" s="6">
        <v>0.63300000000000001</v>
      </c>
      <c r="M208" s="6">
        <v>0.59501999999999999</v>
      </c>
      <c r="N208" s="6">
        <v>0.63300000000000001</v>
      </c>
      <c r="O208" s="6">
        <v>0.59501999999999999</v>
      </c>
      <c r="P208" s="6">
        <v>2</v>
      </c>
      <c r="Q208" s="4" t="s">
        <v>26</v>
      </c>
      <c r="R208" s="4">
        <v>0</v>
      </c>
      <c r="S208" s="4" t="s">
        <v>225</v>
      </c>
      <c r="T208" s="4" t="s">
        <v>348</v>
      </c>
      <c r="U208" s="4">
        <v>0</v>
      </c>
      <c r="V208" s="4">
        <v>32</v>
      </c>
      <c r="W208" s="4">
        <v>55</v>
      </c>
    </row>
    <row r="209" spans="1:23" ht="11.25" customHeight="1" x14ac:dyDescent="0.3">
      <c r="A209" s="4" t="s">
        <v>21</v>
      </c>
      <c r="B209" s="4" t="s">
        <v>31</v>
      </c>
      <c r="C209" s="4" t="s">
        <v>23</v>
      </c>
      <c r="D209" s="4" t="s">
        <v>46</v>
      </c>
      <c r="E209" s="4" t="s">
        <v>47</v>
      </c>
      <c r="F209" s="4" t="s">
        <v>25</v>
      </c>
      <c r="G209" s="4" t="s">
        <v>25</v>
      </c>
      <c r="H209" s="4" t="s">
        <v>25</v>
      </c>
      <c r="I209" s="5">
        <v>44652</v>
      </c>
      <c r="J209" s="6">
        <v>0</v>
      </c>
      <c r="K209" s="6">
        <v>0</v>
      </c>
      <c r="L209" s="6">
        <v>0.309</v>
      </c>
      <c r="M209" s="6">
        <v>0.29046</v>
      </c>
      <c r="N209" s="6">
        <v>0.309</v>
      </c>
      <c r="O209" s="6">
        <v>0.29046</v>
      </c>
      <c r="P209" s="6">
        <v>2</v>
      </c>
      <c r="Q209" s="4" t="s">
        <v>26</v>
      </c>
      <c r="R209" s="4">
        <v>0</v>
      </c>
      <c r="S209" s="4" t="s">
        <v>226</v>
      </c>
      <c r="T209" s="4" t="s">
        <v>349</v>
      </c>
      <c r="U209" s="4">
        <v>0</v>
      </c>
      <c r="V209" s="4">
        <v>32</v>
      </c>
      <c r="W209" s="4">
        <v>55</v>
      </c>
    </row>
    <row r="210" spans="1:23" ht="11.25" customHeight="1" x14ac:dyDescent="0.3">
      <c r="A210" s="4" t="s">
        <v>21</v>
      </c>
      <c r="B210" s="4" t="s">
        <v>31</v>
      </c>
      <c r="C210" s="4" t="s">
        <v>23</v>
      </c>
      <c r="D210" s="4" t="s">
        <v>46</v>
      </c>
      <c r="E210" s="4" t="s">
        <v>47</v>
      </c>
      <c r="F210" s="4" t="s">
        <v>25</v>
      </c>
      <c r="G210" s="4" t="s">
        <v>25</v>
      </c>
      <c r="H210" s="4" t="s">
        <v>25</v>
      </c>
      <c r="I210" s="5">
        <v>44682</v>
      </c>
      <c r="J210" s="6">
        <v>0</v>
      </c>
      <c r="K210" s="6">
        <v>0</v>
      </c>
      <c r="L210" s="6">
        <v>0.31900000000000001</v>
      </c>
      <c r="M210" s="6">
        <v>0.29986000000000002</v>
      </c>
      <c r="N210" s="6">
        <v>0.31900000000000001</v>
      </c>
      <c r="O210" s="6">
        <v>0.29986000000000002</v>
      </c>
      <c r="P210" s="6">
        <v>2</v>
      </c>
      <c r="Q210" s="4" t="s">
        <v>26</v>
      </c>
      <c r="R210" s="4">
        <v>0</v>
      </c>
      <c r="S210" s="4" t="s">
        <v>227</v>
      </c>
      <c r="T210" s="4" t="s">
        <v>350</v>
      </c>
      <c r="U210" s="4">
        <v>0</v>
      </c>
      <c r="V210" s="4">
        <v>32</v>
      </c>
      <c r="W210" s="4">
        <v>55</v>
      </c>
    </row>
    <row r="211" spans="1:23" ht="11.25" customHeight="1" x14ac:dyDescent="0.3">
      <c r="A211" s="4" t="s">
        <v>21</v>
      </c>
      <c r="B211" s="4" t="s">
        <v>31</v>
      </c>
      <c r="C211" s="4" t="s">
        <v>23</v>
      </c>
      <c r="D211" s="4" t="s">
        <v>46</v>
      </c>
      <c r="E211" s="4" t="s">
        <v>47</v>
      </c>
      <c r="F211" s="4" t="s">
        <v>25</v>
      </c>
      <c r="G211" s="4" t="s">
        <v>25</v>
      </c>
      <c r="H211" s="4" t="s">
        <v>25</v>
      </c>
      <c r="I211" s="5">
        <v>44713</v>
      </c>
      <c r="J211" s="6">
        <v>0</v>
      </c>
      <c r="K211" s="6">
        <v>0</v>
      </c>
      <c r="L211" s="6">
        <v>0.32600000000000001</v>
      </c>
      <c r="M211" s="6">
        <v>0.30643999999999999</v>
      </c>
      <c r="N211" s="6">
        <v>0.32600000000000001</v>
      </c>
      <c r="O211" s="6">
        <v>0.30643999999999999</v>
      </c>
      <c r="P211" s="6">
        <v>2</v>
      </c>
      <c r="Q211" s="4" t="s">
        <v>26</v>
      </c>
      <c r="R211" s="4">
        <v>0</v>
      </c>
      <c r="S211" s="4" t="s">
        <v>228</v>
      </c>
      <c r="T211" s="4" t="s">
        <v>351</v>
      </c>
      <c r="U211" s="4">
        <v>0</v>
      </c>
      <c r="V211" s="4">
        <v>32</v>
      </c>
      <c r="W211" s="4">
        <v>55</v>
      </c>
    </row>
    <row r="212" spans="1:23" ht="11.25" customHeight="1" x14ac:dyDescent="0.3">
      <c r="A212" s="4" t="s">
        <v>21</v>
      </c>
      <c r="B212" s="4" t="s">
        <v>31</v>
      </c>
      <c r="C212" s="4" t="s">
        <v>23</v>
      </c>
      <c r="D212" s="4" t="s">
        <v>46</v>
      </c>
      <c r="E212" s="4" t="s">
        <v>47</v>
      </c>
      <c r="F212" s="4" t="s">
        <v>25</v>
      </c>
      <c r="G212" s="4" t="s">
        <v>25</v>
      </c>
      <c r="H212" s="4" t="s">
        <v>25</v>
      </c>
      <c r="I212" s="5">
        <v>44743</v>
      </c>
      <c r="J212" s="6">
        <v>0</v>
      </c>
      <c r="K212" s="6">
        <v>0</v>
      </c>
      <c r="L212" s="6">
        <v>0.64200000000000002</v>
      </c>
      <c r="M212" s="6">
        <v>0.60348000000000002</v>
      </c>
      <c r="N212" s="6">
        <v>0.64200000000000002</v>
      </c>
      <c r="O212" s="6">
        <v>0.60348000000000002</v>
      </c>
      <c r="P212" s="6">
        <v>2</v>
      </c>
      <c r="Q212" s="4" t="s">
        <v>26</v>
      </c>
      <c r="R212" s="4">
        <v>0</v>
      </c>
      <c r="S212" s="4" t="s">
        <v>229</v>
      </c>
      <c r="T212" s="4" t="s">
        <v>352</v>
      </c>
      <c r="U212" s="4">
        <v>0</v>
      </c>
      <c r="V212" s="4">
        <v>32</v>
      </c>
      <c r="W212" s="4">
        <v>55</v>
      </c>
    </row>
    <row r="213" spans="1:23" ht="11.25" customHeight="1" x14ac:dyDescent="0.3">
      <c r="A213" s="4" t="s">
        <v>21</v>
      </c>
      <c r="B213" s="4" t="s">
        <v>31</v>
      </c>
      <c r="C213" s="4" t="s">
        <v>23</v>
      </c>
      <c r="D213" s="4" t="s">
        <v>46</v>
      </c>
      <c r="E213" s="4" t="s">
        <v>47</v>
      </c>
      <c r="F213" s="4" t="s">
        <v>25</v>
      </c>
      <c r="G213" s="4" t="s">
        <v>25</v>
      </c>
      <c r="H213" s="4" t="s">
        <v>25</v>
      </c>
      <c r="I213" s="5">
        <v>44774</v>
      </c>
      <c r="J213" s="6">
        <v>0</v>
      </c>
      <c r="K213" s="6">
        <v>0</v>
      </c>
      <c r="L213" s="6">
        <v>0.52200000000000002</v>
      </c>
      <c r="M213" s="6">
        <v>0.49068000000000001</v>
      </c>
      <c r="N213" s="6">
        <v>0.52200000000000002</v>
      </c>
      <c r="O213" s="6">
        <v>0.49068000000000001</v>
      </c>
      <c r="P213" s="6">
        <v>2</v>
      </c>
      <c r="Q213" s="4" t="s">
        <v>26</v>
      </c>
      <c r="R213" s="4">
        <v>0</v>
      </c>
      <c r="S213" s="4" t="s">
        <v>230</v>
      </c>
      <c r="T213" s="4" t="s">
        <v>353</v>
      </c>
      <c r="U213" s="4">
        <v>0</v>
      </c>
      <c r="V213" s="4">
        <v>32</v>
      </c>
      <c r="W213" s="4">
        <v>55</v>
      </c>
    </row>
    <row r="214" spans="1:23" ht="11.25" customHeight="1" x14ac:dyDescent="0.3">
      <c r="A214" s="4" t="s">
        <v>21</v>
      </c>
      <c r="B214" s="4" t="s">
        <v>43</v>
      </c>
      <c r="C214" s="4" t="s">
        <v>23</v>
      </c>
      <c r="D214" s="4" t="s">
        <v>44</v>
      </c>
      <c r="E214" s="4" t="s">
        <v>45</v>
      </c>
      <c r="F214" s="4" t="s">
        <v>25</v>
      </c>
      <c r="G214" s="4" t="s">
        <v>25</v>
      </c>
      <c r="H214" s="4" t="s">
        <v>25</v>
      </c>
      <c r="I214" s="5">
        <v>44440</v>
      </c>
      <c r="J214" s="6">
        <v>0</v>
      </c>
      <c r="K214" s="6">
        <v>0</v>
      </c>
      <c r="L214" s="6">
        <v>20.414000000000001</v>
      </c>
      <c r="M214" s="6">
        <v>20.414000000000001</v>
      </c>
      <c r="N214" s="6">
        <v>20.414000000000001</v>
      </c>
      <c r="O214" s="6">
        <v>20.414000000000001</v>
      </c>
      <c r="P214" s="6">
        <v>1</v>
      </c>
      <c r="Q214" s="4" t="s">
        <v>26</v>
      </c>
      <c r="R214" s="4">
        <v>0</v>
      </c>
      <c r="S214" s="4" t="s">
        <v>231</v>
      </c>
      <c r="T214" s="4" t="s">
        <v>354</v>
      </c>
      <c r="U214" s="4">
        <v>0</v>
      </c>
      <c r="V214" s="4">
        <v>39</v>
      </c>
      <c r="W214" s="4">
        <v>83</v>
      </c>
    </row>
    <row r="215" spans="1:23" ht="11.25" customHeight="1" x14ac:dyDescent="0.3">
      <c r="A215" s="4" t="s">
        <v>21</v>
      </c>
      <c r="B215" s="4" t="s">
        <v>43</v>
      </c>
      <c r="C215" s="4" t="s">
        <v>23</v>
      </c>
      <c r="D215" s="4" t="s">
        <v>44</v>
      </c>
      <c r="E215" s="4" t="s">
        <v>45</v>
      </c>
      <c r="F215" s="4" t="s">
        <v>25</v>
      </c>
      <c r="G215" s="4" t="s">
        <v>25</v>
      </c>
      <c r="H215" s="4" t="s">
        <v>25</v>
      </c>
      <c r="I215" s="5">
        <v>44470</v>
      </c>
      <c r="J215" s="6">
        <v>0</v>
      </c>
      <c r="K215" s="6">
        <v>0</v>
      </c>
      <c r="L215" s="6">
        <v>21.094000000000001</v>
      </c>
      <c r="M215" s="6">
        <v>21.094000000000001</v>
      </c>
      <c r="N215" s="6">
        <v>21.094000000000001</v>
      </c>
      <c r="O215" s="6">
        <v>21.094000000000001</v>
      </c>
      <c r="P215" s="6">
        <v>1</v>
      </c>
      <c r="Q215" s="4" t="s">
        <v>26</v>
      </c>
      <c r="R215" s="4">
        <v>0</v>
      </c>
      <c r="S215" s="4" t="s">
        <v>232</v>
      </c>
      <c r="T215" s="4" t="s">
        <v>355</v>
      </c>
      <c r="U215" s="4">
        <v>0</v>
      </c>
      <c r="V215" s="4">
        <v>39</v>
      </c>
      <c r="W215" s="4">
        <v>83</v>
      </c>
    </row>
    <row r="216" spans="1:23" ht="11.25" customHeight="1" x14ac:dyDescent="0.3">
      <c r="A216" s="4" t="s">
        <v>21</v>
      </c>
      <c r="B216" s="4" t="s">
        <v>43</v>
      </c>
      <c r="C216" s="4" t="s">
        <v>23</v>
      </c>
      <c r="D216" s="4" t="s">
        <v>44</v>
      </c>
      <c r="E216" s="4" t="s">
        <v>45</v>
      </c>
      <c r="F216" s="4" t="s">
        <v>25</v>
      </c>
      <c r="G216" s="4" t="s">
        <v>25</v>
      </c>
      <c r="H216" s="4" t="s">
        <v>25</v>
      </c>
      <c r="I216" s="5">
        <v>44501</v>
      </c>
      <c r="J216" s="6">
        <v>0</v>
      </c>
      <c r="K216" s="6">
        <v>0</v>
      </c>
      <c r="L216" s="6">
        <v>20.414000000000001</v>
      </c>
      <c r="M216" s="6">
        <v>20.414000000000001</v>
      </c>
      <c r="N216" s="6">
        <v>20.414000000000001</v>
      </c>
      <c r="O216" s="6">
        <v>20.414000000000001</v>
      </c>
      <c r="P216" s="6">
        <v>1</v>
      </c>
      <c r="Q216" s="4" t="s">
        <v>26</v>
      </c>
      <c r="R216" s="4">
        <v>0</v>
      </c>
      <c r="S216" s="4" t="s">
        <v>233</v>
      </c>
      <c r="T216" s="4" t="s">
        <v>356</v>
      </c>
      <c r="U216" s="4">
        <v>0</v>
      </c>
      <c r="V216" s="4">
        <v>39</v>
      </c>
      <c r="W216" s="4">
        <v>83</v>
      </c>
    </row>
    <row r="217" spans="1:23" ht="11.25" customHeight="1" x14ac:dyDescent="0.3">
      <c r="A217" s="4" t="s">
        <v>21</v>
      </c>
      <c r="B217" s="4" t="s">
        <v>43</v>
      </c>
      <c r="C217" s="4" t="s">
        <v>23</v>
      </c>
      <c r="D217" s="4" t="s">
        <v>44</v>
      </c>
      <c r="E217" s="4" t="s">
        <v>45</v>
      </c>
      <c r="F217" s="4" t="s">
        <v>25</v>
      </c>
      <c r="G217" s="4" t="s">
        <v>25</v>
      </c>
      <c r="H217" s="4" t="s">
        <v>25</v>
      </c>
      <c r="I217" s="5">
        <v>44531</v>
      </c>
      <c r="J217" s="6">
        <v>0</v>
      </c>
      <c r="K217" s="6">
        <v>0</v>
      </c>
      <c r="L217" s="6">
        <v>21.094000000000001</v>
      </c>
      <c r="M217" s="6">
        <v>21.094000000000001</v>
      </c>
      <c r="N217" s="6">
        <v>21.094000000000001</v>
      </c>
      <c r="O217" s="6">
        <v>21.094000000000001</v>
      </c>
      <c r="P217" s="6">
        <v>1</v>
      </c>
      <c r="Q217" s="4" t="s">
        <v>26</v>
      </c>
      <c r="R217" s="4">
        <v>0</v>
      </c>
      <c r="S217" s="4" t="s">
        <v>234</v>
      </c>
      <c r="T217" s="4" t="s">
        <v>357</v>
      </c>
      <c r="U217" s="4">
        <v>0</v>
      </c>
      <c r="V217" s="4">
        <v>39</v>
      </c>
      <c r="W217" s="4">
        <v>83</v>
      </c>
    </row>
    <row r="218" spans="1:23" ht="11.25" customHeight="1" x14ac:dyDescent="0.3">
      <c r="A218" s="4" t="s">
        <v>21</v>
      </c>
      <c r="B218" s="4" t="s">
        <v>43</v>
      </c>
      <c r="C218" s="4" t="s">
        <v>23</v>
      </c>
      <c r="D218" s="4" t="s">
        <v>44</v>
      </c>
      <c r="E218" s="4" t="s">
        <v>45</v>
      </c>
      <c r="F218" s="4" t="s">
        <v>25</v>
      </c>
      <c r="G218" s="4" t="s">
        <v>25</v>
      </c>
      <c r="H218" s="4" t="s">
        <v>25</v>
      </c>
      <c r="I218" s="5">
        <v>44562</v>
      </c>
      <c r="J218" s="6">
        <v>0</v>
      </c>
      <c r="K218" s="6">
        <v>0</v>
      </c>
      <c r="L218" s="6">
        <v>21.123999999999999</v>
      </c>
      <c r="M218" s="6">
        <v>21.123999999999999</v>
      </c>
      <c r="N218" s="6">
        <v>21.123999999999999</v>
      </c>
      <c r="O218" s="6">
        <v>21.123999999999999</v>
      </c>
      <c r="P218" s="6">
        <v>1</v>
      </c>
      <c r="Q218" s="4" t="s">
        <v>26</v>
      </c>
      <c r="R218" s="4">
        <v>0</v>
      </c>
      <c r="S218" s="4" t="s">
        <v>235</v>
      </c>
      <c r="T218" s="4" t="s">
        <v>358</v>
      </c>
      <c r="U218" s="4">
        <v>0</v>
      </c>
      <c r="V218" s="4">
        <v>39</v>
      </c>
      <c r="W218" s="4">
        <v>83</v>
      </c>
    </row>
    <row r="219" spans="1:23" ht="11.25" customHeight="1" x14ac:dyDescent="0.3">
      <c r="A219" s="4" t="s">
        <v>21</v>
      </c>
      <c r="B219" s="4" t="s">
        <v>43</v>
      </c>
      <c r="C219" s="4" t="s">
        <v>23</v>
      </c>
      <c r="D219" s="4" t="s">
        <v>44</v>
      </c>
      <c r="E219" s="4" t="s">
        <v>45</v>
      </c>
      <c r="F219" s="4" t="s">
        <v>25</v>
      </c>
      <c r="G219" s="4" t="s">
        <v>25</v>
      </c>
      <c r="H219" s="4" t="s">
        <v>25</v>
      </c>
      <c r="I219" s="5">
        <v>44593</v>
      </c>
      <c r="J219" s="6">
        <v>0</v>
      </c>
      <c r="K219" s="6">
        <v>0</v>
      </c>
      <c r="L219" s="6">
        <v>19.079999999999998</v>
      </c>
      <c r="M219" s="6">
        <v>19.079999999999998</v>
      </c>
      <c r="N219" s="6">
        <v>19.079999999999998</v>
      </c>
      <c r="O219" s="6">
        <v>19.079999999999998</v>
      </c>
      <c r="P219" s="6">
        <v>1</v>
      </c>
      <c r="Q219" s="4" t="s">
        <v>26</v>
      </c>
      <c r="R219" s="4">
        <v>0</v>
      </c>
      <c r="S219" s="4" t="s">
        <v>236</v>
      </c>
      <c r="T219" s="4" t="s">
        <v>359</v>
      </c>
      <c r="U219" s="4">
        <v>0</v>
      </c>
      <c r="V219" s="4">
        <v>39</v>
      </c>
      <c r="W219" s="4">
        <v>83</v>
      </c>
    </row>
    <row r="220" spans="1:23" ht="11.25" customHeight="1" x14ac:dyDescent="0.3">
      <c r="A220" s="4" t="s">
        <v>21</v>
      </c>
      <c r="B220" s="4" t="s">
        <v>43</v>
      </c>
      <c r="C220" s="4" t="s">
        <v>23</v>
      </c>
      <c r="D220" s="4" t="s">
        <v>44</v>
      </c>
      <c r="E220" s="4" t="s">
        <v>45</v>
      </c>
      <c r="F220" s="4" t="s">
        <v>25</v>
      </c>
      <c r="G220" s="4" t="s">
        <v>25</v>
      </c>
      <c r="H220" s="4" t="s">
        <v>25</v>
      </c>
      <c r="I220" s="5">
        <v>44621</v>
      </c>
      <c r="J220" s="6">
        <v>0</v>
      </c>
      <c r="K220" s="6">
        <v>0</v>
      </c>
      <c r="L220" s="6">
        <v>21.184000000000001</v>
      </c>
      <c r="M220" s="6">
        <v>21.184000000000001</v>
      </c>
      <c r="N220" s="6">
        <v>21.184000000000001</v>
      </c>
      <c r="O220" s="6">
        <v>21.184000000000001</v>
      </c>
      <c r="P220" s="6">
        <v>1</v>
      </c>
      <c r="Q220" s="4" t="s">
        <v>26</v>
      </c>
      <c r="R220" s="4">
        <v>0</v>
      </c>
      <c r="S220" s="4" t="s">
        <v>237</v>
      </c>
      <c r="T220" s="4" t="s">
        <v>360</v>
      </c>
      <c r="U220" s="4">
        <v>0</v>
      </c>
      <c r="V220" s="4">
        <v>39</v>
      </c>
      <c r="W220" s="4">
        <v>83</v>
      </c>
    </row>
    <row r="221" spans="1:23" ht="11.25" customHeight="1" x14ac:dyDescent="0.3">
      <c r="A221" s="4" t="s">
        <v>21</v>
      </c>
      <c r="B221" s="4" t="s">
        <v>43</v>
      </c>
      <c r="C221" s="4" t="s">
        <v>23</v>
      </c>
      <c r="D221" s="4" t="s">
        <v>44</v>
      </c>
      <c r="E221" s="4" t="s">
        <v>45</v>
      </c>
      <c r="F221" s="4" t="s">
        <v>25</v>
      </c>
      <c r="G221" s="4" t="s">
        <v>25</v>
      </c>
      <c r="H221" s="4" t="s">
        <v>25</v>
      </c>
      <c r="I221" s="5">
        <v>44652</v>
      </c>
      <c r="J221" s="6">
        <v>0</v>
      </c>
      <c r="K221" s="6">
        <v>0</v>
      </c>
      <c r="L221" s="6">
        <v>20.5</v>
      </c>
      <c r="M221" s="6">
        <v>20.5</v>
      </c>
      <c r="N221" s="6">
        <v>20.5</v>
      </c>
      <c r="O221" s="6">
        <v>20.5</v>
      </c>
      <c r="P221" s="6">
        <v>1</v>
      </c>
      <c r="Q221" s="4" t="s">
        <v>26</v>
      </c>
      <c r="R221" s="4">
        <v>0</v>
      </c>
      <c r="S221" s="4" t="s">
        <v>238</v>
      </c>
      <c r="T221" s="4" t="s">
        <v>361</v>
      </c>
      <c r="U221" s="4">
        <v>0</v>
      </c>
      <c r="V221" s="4">
        <v>39</v>
      </c>
      <c r="W221" s="4">
        <v>83</v>
      </c>
    </row>
    <row r="222" spans="1:23" ht="11.25" customHeight="1" x14ac:dyDescent="0.3">
      <c r="A222" s="4" t="s">
        <v>21</v>
      </c>
      <c r="B222" s="4" t="s">
        <v>43</v>
      </c>
      <c r="C222" s="4" t="s">
        <v>23</v>
      </c>
      <c r="D222" s="4" t="s">
        <v>44</v>
      </c>
      <c r="E222" s="4" t="s">
        <v>45</v>
      </c>
      <c r="F222" s="4" t="s">
        <v>25</v>
      </c>
      <c r="G222" s="4" t="s">
        <v>25</v>
      </c>
      <c r="H222" s="4" t="s">
        <v>25</v>
      </c>
      <c r="I222" s="5">
        <v>44682</v>
      </c>
      <c r="J222" s="6">
        <v>0</v>
      </c>
      <c r="K222" s="6">
        <v>0</v>
      </c>
      <c r="L222" s="6">
        <v>21.184000000000001</v>
      </c>
      <c r="M222" s="6">
        <v>21.184000000000001</v>
      </c>
      <c r="N222" s="6">
        <v>21.184000000000001</v>
      </c>
      <c r="O222" s="6">
        <v>21.184000000000001</v>
      </c>
      <c r="P222" s="6">
        <v>1</v>
      </c>
      <c r="Q222" s="4" t="s">
        <v>26</v>
      </c>
      <c r="R222" s="4">
        <v>0</v>
      </c>
      <c r="S222" s="4" t="s">
        <v>239</v>
      </c>
      <c r="T222" s="4" t="s">
        <v>362</v>
      </c>
      <c r="U222" s="4">
        <v>0</v>
      </c>
      <c r="V222" s="4">
        <v>39</v>
      </c>
      <c r="W222" s="4">
        <v>83</v>
      </c>
    </row>
    <row r="223" spans="1:23" ht="11.25" customHeight="1" x14ac:dyDescent="0.3">
      <c r="A223" s="4" t="s">
        <v>21</v>
      </c>
      <c r="B223" s="4" t="s">
        <v>43</v>
      </c>
      <c r="C223" s="4" t="s">
        <v>23</v>
      </c>
      <c r="D223" s="4" t="s">
        <v>44</v>
      </c>
      <c r="E223" s="4" t="s">
        <v>45</v>
      </c>
      <c r="F223" s="4" t="s">
        <v>25</v>
      </c>
      <c r="G223" s="4" t="s">
        <v>25</v>
      </c>
      <c r="H223" s="4" t="s">
        <v>25</v>
      </c>
      <c r="I223" s="5">
        <v>44713</v>
      </c>
      <c r="J223" s="6">
        <v>0</v>
      </c>
      <c r="K223" s="6">
        <v>0</v>
      </c>
      <c r="L223" s="6">
        <v>20.5</v>
      </c>
      <c r="M223" s="6">
        <v>20.5</v>
      </c>
      <c r="N223" s="6">
        <v>20.5</v>
      </c>
      <c r="O223" s="6">
        <v>20.5</v>
      </c>
      <c r="P223" s="6">
        <v>1</v>
      </c>
      <c r="Q223" s="4" t="s">
        <v>26</v>
      </c>
      <c r="R223" s="4">
        <v>0</v>
      </c>
      <c r="S223" s="4" t="s">
        <v>240</v>
      </c>
      <c r="T223" s="4" t="s">
        <v>363</v>
      </c>
      <c r="U223" s="4">
        <v>0</v>
      </c>
      <c r="V223" s="4">
        <v>39</v>
      </c>
      <c r="W223" s="4">
        <v>83</v>
      </c>
    </row>
    <row r="224" spans="1:23" ht="11.25" customHeight="1" x14ac:dyDescent="0.3">
      <c r="A224" s="4" t="s">
        <v>21</v>
      </c>
      <c r="B224" s="4" t="s">
        <v>43</v>
      </c>
      <c r="C224" s="4" t="s">
        <v>23</v>
      </c>
      <c r="D224" s="4" t="s">
        <v>44</v>
      </c>
      <c r="E224" s="4" t="s">
        <v>45</v>
      </c>
      <c r="F224" s="4" t="s">
        <v>25</v>
      </c>
      <c r="G224" s="4" t="s">
        <v>25</v>
      </c>
      <c r="H224" s="4" t="s">
        <v>25</v>
      </c>
      <c r="I224" s="5">
        <v>44743</v>
      </c>
      <c r="J224" s="6">
        <v>0</v>
      </c>
      <c r="K224" s="6">
        <v>0</v>
      </c>
      <c r="L224" s="6">
        <v>21.538</v>
      </c>
      <c r="M224" s="6">
        <v>21.538</v>
      </c>
      <c r="N224" s="6">
        <v>21.538</v>
      </c>
      <c r="O224" s="6">
        <v>21.538</v>
      </c>
      <c r="P224" s="6">
        <v>1</v>
      </c>
      <c r="Q224" s="4" t="s">
        <v>26</v>
      </c>
      <c r="R224" s="4">
        <v>0</v>
      </c>
      <c r="S224" s="4" t="s">
        <v>241</v>
      </c>
      <c r="T224" s="4" t="s">
        <v>364</v>
      </c>
      <c r="U224" s="4">
        <v>0</v>
      </c>
      <c r="V224" s="4">
        <v>39</v>
      </c>
      <c r="W224" s="4">
        <v>83</v>
      </c>
    </row>
    <row r="225" spans="1:23" ht="11.25" customHeight="1" x14ac:dyDescent="0.3">
      <c r="A225" s="4" t="s">
        <v>21</v>
      </c>
      <c r="B225" s="4" t="s">
        <v>43</v>
      </c>
      <c r="C225" s="4" t="s">
        <v>23</v>
      </c>
      <c r="D225" s="4" t="s">
        <v>44</v>
      </c>
      <c r="E225" s="4" t="s">
        <v>45</v>
      </c>
      <c r="F225" s="4" t="s">
        <v>25</v>
      </c>
      <c r="G225" s="4" t="s">
        <v>25</v>
      </c>
      <c r="H225" s="4" t="s">
        <v>25</v>
      </c>
      <c r="I225" s="5">
        <v>44774</v>
      </c>
      <c r="J225" s="6">
        <v>0</v>
      </c>
      <c r="K225" s="6">
        <v>0</v>
      </c>
      <c r="L225" s="6">
        <v>21.538</v>
      </c>
      <c r="M225" s="6">
        <v>21.538</v>
      </c>
      <c r="N225" s="6">
        <v>21.538</v>
      </c>
      <c r="O225" s="6">
        <v>21.538</v>
      </c>
      <c r="P225" s="6">
        <v>1</v>
      </c>
      <c r="Q225" s="4" t="s">
        <v>26</v>
      </c>
      <c r="R225" s="4">
        <v>0</v>
      </c>
      <c r="S225" s="4" t="s">
        <v>242</v>
      </c>
      <c r="T225" s="4" t="s">
        <v>365</v>
      </c>
      <c r="U225" s="4">
        <v>0</v>
      </c>
      <c r="V225" s="4">
        <v>39</v>
      </c>
      <c r="W225" s="4">
        <v>83</v>
      </c>
    </row>
  </sheetData>
  <sortState xmlns:xlrd2="http://schemas.microsoft.com/office/spreadsheetml/2017/richdata2" ref="A2:W225">
    <sortCondition ref="B2:B225"/>
    <sortCondition ref="C2:C225"/>
    <sortCondition ref="D2:D225"/>
    <sortCondition ref="E2:E225"/>
    <sortCondition ref="F2:F225"/>
    <sortCondition ref="H2:H22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D81C-D341-4240-9D35-3377EEF99BC8}">
  <dimension ref="A1:AP58"/>
  <sheetViews>
    <sheetView showGridLines="0" topLeftCell="AF41" workbookViewId="0">
      <selection activeCell="AO53" sqref="AO53:AP55"/>
    </sheetView>
  </sheetViews>
  <sheetFormatPr defaultRowHeight="11.25" customHeight="1" x14ac:dyDescent="0.3"/>
  <cols>
    <col min="1" max="1" width="9" style="9" bestFit="1" customWidth="1"/>
    <col min="2" max="2" width="19.441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9" width="7.109375" style="9" bestFit="1" customWidth="1"/>
    <col min="10" max="10" width="8.88671875" style="9"/>
    <col min="11" max="11" width="14.109375" style="9" bestFit="1" customWidth="1"/>
    <col min="12" max="12" width="12.44140625" style="9" bestFit="1" customWidth="1"/>
    <col min="13" max="13" width="7.109375" style="9" bestFit="1" customWidth="1"/>
    <col min="14" max="14" width="3.77734375" style="9" bestFit="1" customWidth="1"/>
    <col min="15" max="15" width="3.88671875" style="9" bestFit="1" customWidth="1"/>
    <col min="16" max="16" width="3.77734375" style="9" bestFit="1" customWidth="1"/>
    <col min="17" max="17" width="9.109375" style="9" bestFit="1" customWidth="1"/>
    <col min="18" max="18" width="7.88671875" style="9" bestFit="1" customWidth="1"/>
    <col min="19" max="19" width="8" style="9" bestFit="1" customWidth="1"/>
    <col min="20" max="20" width="9.109375" style="9" bestFit="1" customWidth="1"/>
    <col min="21" max="21" width="7.109375" style="9" bestFit="1" customWidth="1"/>
    <col min="22" max="22" width="7" style="9" bestFit="1" customWidth="1"/>
    <col min="23" max="23" width="9.21875" style="9" bestFit="1" customWidth="1"/>
    <col min="24" max="24" width="9.33203125" style="9" bestFit="1" customWidth="1"/>
    <col min="25" max="25" width="9.109375" style="9" bestFit="1" customWidth="1"/>
    <col min="26" max="26" width="7.109375" style="9" bestFit="1" customWidth="1"/>
    <col min="27" max="27" width="9.33203125" style="9" bestFit="1" customWidth="1"/>
    <col min="28" max="28" width="9.109375" style="9" bestFit="1" customWidth="1"/>
    <col min="29" max="29" width="11.109375" style="9" bestFit="1" customWidth="1"/>
    <col min="30" max="30" width="9.5546875" style="9" bestFit="1" customWidth="1"/>
    <col min="31" max="31" width="7.77734375" style="9" bestFit="1" customWidth="1"/>
    <col min="32" max="32" width="6.88671875" style="9" bestFit="1" customWidth="1"/>
    <col min="33" max="33" width="8.5546875" style="9" bestFit="1" customWidth="1"/>
    <col min="34" max="34" width="14.44140625" style="9" bestFit="1" customWidth="1"/>
    <col min="35" max="35" width="17.5546875" style="9" bestFit="1" customWidth="1"/>
    <col min="36" max="36" width="18.109375" style="9" bestFit="1" customWidth="1"/>
    <col min="37" max="37" width="3.5546875" style="9" bestFit="1" customWidth="1"/>
    <col min="38" max="38" width="8.5546875" style="9" bestFit="1" customWidth="1"/>
    <col min="39" max="39" width="9.5546875" style="9" bestFit="1" customWidth="1"/>
    <col min="40" max="40" width="8.88671875" style="9"/>
    <col min="41" max="42" width="9.33203125" style="9" bestFit="1" customWidth="1"/>
    <col min="43" max="16384" width="8.88671875" style="9"/>
  </cols>
  <sheetData>
    <row r="1" spans="1:42" ht="11.25" customHeight="1" x14ac:dyDescent="0.3">
      <c r="A1" s="92" t="s">
        <v>58</v>
      </c>
      <c r="B1" s="92" t="s">
        <v>59</v>
      </c>
      <c r="C1" s="92" t="s">
        <v>60</v>
      </c>
      <c r="D1" s="92" t="s">
        <v>61</v>
      </c>
      <c r="E1" s="92" t="s">
        <v>62</v>
      </c>
      <c r="F1" s="92" t="s">
        <v>15</v>
      </c>
      <c r="G1" s="92" t="s">
        <v>64</v>
      </c>
      <c r="H1" s="92" t="s">
        <v>65</v>
      </c>
      <c r="I1" s="92" t="s">
        <v>468</v>
      </c>
      <c r="J1" s="80"/>
      <c r="L1" s="93" t="s">
        <v>485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O1" s="20"/>
      <c r="AP1" s="96" t="s">
        <v>470</v>
      </c>
    </row>
    <row r="2" spans="1:42" ht="11.2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80"/>
      <c r="L2" s="93" t="s">
        <v>367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O2" s="20"/>
      <c r="AP2" s="97"/>
    </row>
    <row r="3" spans="1:42" ht="11.25" customHeight="1" x14ac:dyDescent="0.3">
      <c r="A3" s="92"/>
      <c r="B3" s="92"/>
      <c r="C3" s="92"/>
      <c r="D3" s="92"/>
      <c r="E3" s="92"/>
      <c r="F3" s="92"/>
      <c r="G3" s="92"/>
      <c r="H3" s="92"/>
      <c r="I3" s="92"/>
      <c r="J3" s="80"/>
      <c r="L3" s="93" t="s">
        <v>368</v>
      </c>
      <c r="M3" s="93"/>
      <c r="N3" s="93"/>
      <c r="O3" s="93"/>
      <c r="P3" s="93"/>
      <c r="Q3" s="93"/>
      <c r="R3" s="93"/>
      <c r="S3" s="93"/>
      <c r="T3" s="93"/>
      <c r="U3" s="93" t="s">
        <v>377</v>
      </c>
      <c r="V3" s="93"/>
      <c r="W3" s="93"/>
      <c r="X3" s="93"/>
      <c r="Y3" s="93"/>
      <c r="Z3" s="93"/>
      <c r="AA3" s="93"/>
      <c r="AB3" s="93"/>
      <c r="AC3" s="93" t="s">
        <v>385</v>
      </c>
      <c r="AD3" s="93"/>
      <c r="AE3" s="93" t="s">
        <v>387</v>
      </c>
      <c r="AF3" s="93"/>
      <c r="AG3" s="93"/>
      <c r="AH3" s="93" t="s">
        <v>390</v>
      </c>
      <c r="AI3" s="93"/>
      <c r="AJ3" s="93"/>
      <c r="AK3" s="93"/>
      <c r="AL3" s="93"/>
      <c r="AM3" s="93" t="s">
        <v>376</v>
      </c>
      <c r="AO3" s="20"/>
      <c r="AP3" s="97"/>
    </row>
    <row r="4" spans="1:42" ht="11.25" customHeight="1" x14ac:dyDescent="0.3">
      <c r="A4" s="92"/>
      <c r="B4" s="92"/>
      <c r="C4" s="92"/>
      <c r="D4" s="92"/>
      <c r="E4" s="92"/>
      <c r="F4" s="92"/>
      <c r="G4" s="92"/>
      <c r="H4" s="92"/>
      <c r="I4" s="92"/>
      <c r="J4" s="80"/>
      <c r="L4" s="10" t="s">
        <v>453</v>
      </c>
      <c r="M4" s="10" t="s">
        <v>369</v>
      </c>
      <c r="N4" s="10" t="s">
        <v>370</v>
      </c>
      <c r="O4" s="10" t="s">
        <v>371</v>
      </c>
      <c r="P4" s="10" t="s">
        <v>372</v>
      </c>
      <c r="Q4" s="10" t="s">
        <v>373</v>
      </c>
      <c r="R4" s="10" t="s">
        <v>374</v>
      </c>
      <c r="S4" s="10" t="s">
        <v>375</v>
      </c>
      <c r="T4" s="10" t="s">
        <v>376</v>
      </c>
      <c r="U4" s="10" t="s">
        <v>378</v>
      </c>
      <c r="V4" s="10" t="s">
        <v>379</v>
      </c>
      <c r="W4" s="10" t="s">
        <v>380</v>
      </c>
      <c r="X4" s="10" t="s">
        <v>381</v>
      </c>
      <c r="Y4" s="10" t="s">
        <v>382</v>
      </c>
      <c r="Z4" s="10" t="s">
        <v>383</v>
      </c>
      <c r="AA4" s="10" t="s">
        <v>384</v>
      </c>
      <c r="AB4" s="10" t="s">
        <v>376</v>
      </c>
      <c r="AC4" s="10" t="s">
        <v>386</v>
      </c>
      <c r="AD4" s="10" t="s">
        <v>376</v>
      </c>
      <c r="AE4" s="10" t="s">
        <v>388</v>
      </c>
      <c r="AF4" s="10" t="s">
        <v>389</v>
      </c>
      <c r="AG4" s="10" t="s">
        <v>376</v>
      </c>
      <c r="AH4" s="10" t="s">
        <v>391</v>
      </c>
      <c r="AI4" s="10" t="s">
        <v>392</v>
      </c>
      <c r="AJ4" s="10" t="s">
        <v>393</v>
      </c>
      <c r="AK4" s="10" t="s">
        <v>394</v>
      </c>
      <c r="AL4" s="10" t="s">
        <v>376</v>
      </c>
      <c r="AM4" s="95"/>
      <c r="AO4" s="21" t="s">
        <v>487</v>
      </c>
      <c r="AP4" s="98"/>
    </row>
    <row r="5" spans="1:42" ht="11.25" customHeight="1" x14ac:dyDescent="0.3">
      <c r="A5" s="91" t="s">
        <v>33</v>
      </c>
      <c r="B5" s="91" t="s">
        <v>34</v>
      </c>
      <c r="C5" s="91" t="s">
        <v>25</v>
      </c>
      <c r="D5" s="91" t="s">
        <v>25</v>
      </c>
      <c r="E5" s="91" t="s">
        <v>25</v>
      </c>
      <c r="F5" s="91" t="s">
        <v>25</v>
      </c>
      <c r="G5" s="18" t="s">
        <v>72</v>
      </c>
      <c r="H5" s="18" t="s">
        <v>71</v>
      </c>
      <c r="I5" s="18">
        <f>'MERCADO TUSD'!$U$2</f>
        <v>8229</v>
      </c>
      <c r="J5" s="15"/>
      <c r="L5" s="13">
        <f>'TUSD BE'!$L$5*'TUSD BE'!$L$58</f>
        <v>0</v>
      </c>
      <c r="M5" s="13">
        <f>'TUSD BE'!$M$5*'TUSD BE'!$M$58</f>
        <v>0</v>
      </c>
      <c r="N5" s="13">
        <f ca="1">'TUSD BE'!$N$5*'TUSD BE'!$N$58</f>
        <v>0</v>
      </c>
      <c r="O5" s="13">
        <f>'TUSD BE'!$O$5*'TUSD BE'!$O$58</f>
        <v>0</v>
      </c>
      <c r="P5" s="13">
        <f>'TUSD BE'!$P$5*'TUSD BE'!$P$58</f>
        <v>0</v>
      </c>
      <c r="Q5" s="13">
        <f>'TUSD BE'!$Q$5*'TUSD BE'!$Q$58</f>
        <v>0</v>
      </c>
      <c r="R5" s="13">
        <f>'TUSD BE'!$R$5*'TUSD BE'!$R$58</f>
        <v>0</v>
      </c>
      <c r="S5" s="13">
        <f>'TUSD BE'!$R$5*'TUSD BE'!$S$58</f>
        <v>0</v>
      </c>
      <c r="T5" s="13">
        <f ca="1">SUM($L$5:$S$5)</f>
        <v>0</v>
      </c>
      <c r="U5" s="13">
        <f>'TUSD BE'!$U$5*'TUSD BE'!$U$58</f>
        <v>0</v>
      </c>
      <c r="V5" s="13">
        <f>'TUSD BE'!$V$5*'TUSD BE'!$V$58</f>
        <v>0</v>
      </c>
      <c r="W5" s="13">
        <f>'TUSD BE'!$W$5*'TUSD BE'!$W$58</f>
        <v>0</v>
      </c>
      <c r="X5" s="13">
        <f>'TUSD BE'!$X$5*'TUSD BE'!$X$58</f>
        <v>0</v>
      </c>
      <c r="Y5" s="13">
        <f>'TUSD BE'!$Y$5*'TUSD BE'!$Y$58</f>
        <v>0.50551865083185921</v>
      </c>
      <c r="Z5" s="13">
        <f>'TUSD BE'!$Z$5*'TUSD BE'!$Z$58</f>
        <v>0</v>
      </c>
      <c r="AA5" s="13">
        <f>'TUSD BE'!$AA$5*'TUSD BE'!$AA$58</f>
        <v>0</v>
      </c>
      <c r="AB5" s="13">
        <f>SUM($U$5:$AA$5)</f>
        <v>0.50551865083185921</v>
      </c>
      <c r="AC5" s="13">
        <f>'TUSD BE'!$AC$5*'TUSD BE'!$AC$58</f>
        <v>-24.12629185459253</v>
      </c>
      <c r="AD5" s="13">
        <f>SUM($AC$5:$AC$5)</f>
        <v>-24.12629185459253</v>
      </c>
      <c r="AE5" s="13">
        <f ca="1">$AO$5*$AO$55</f>
        <v>0</v>
      </c>
      <c r="AF5" s="13">
        <f ca="1">$AP$5*$AP$55</f>
        <v>0</v>
      </c>
      <c r="AG5" s="13">
        <f ca="1">SUM($AE$5:$AF$5)</f>
        <v>0</v>
      </c>
      <c r="AH5" s="13">
        <f>'TUSD BE'!$AH$5*'TUSD BE'!$AH$58</f>
        <v>0</v>
      </c>
      <c r="AI5" s="13">
        <f>'TUSD BE'!$AI$5*'TUSD BE'!$AI$58</f>
        <v>0</v>
      </c>
      <c r="AJ5" s="13">
        <f ca="1">'TUSD BE'!$AJ$5*'TUSD BE'!$AJ$58</f>
        <v>0</v>
      </c>
      <c r="AK5" s="13">
        <f ca="1">'TUSD BE'!$AK$5*'TUSD BE'!$AK$58</f>
        <v>0</v>
      </c>
      <c r="AL5" s="13">
        <f ca="1">SUM($AH$5:$AK$5)</f>
        <v>0</v>
      </c>
      <c r="AM5" s="13">
        <f ca="1">SUMIF($L$4:$AL$4,"SUBTOTAL",$L$5:$AL$5)</f>
        <v>-23.62077320376067</v>
      </c>
      <c r="AO5" s="20">
        <f ca="1">+'TUSD BE'!$T$5+'TUSD BE'!$AB$5+'TUSD BE'!$AD$5+'TUSD BE'!$AL$5</f>
        <v>77.238115497476088</v>
      </c>
      <c r="AP5" s="20">
        <f ca="1">+'TUSD BE'!$T$5+'TUSD BE'!$AB$5+'TUSD BE'!$AD$5+'TUSD BE'!$AL$5</f>
        <v>77.238115497476088</v>
      </c>
    </row>
    <row r="6" spans="1:42" ht="11.25" customHeight="1" x14ac:dyDescent="0.3">
      <c r="A6" s="91"/>
      <c r="B6" s="91"/>
      <c r="C6" s="91"/>
      <c r="D6" s="91"/>
      <c r="E6" s="91"/>
      <c r="F6" s="91"/>
      <c r="G6" s="18" t="s">
        <v>73</v>
      </c>
      <c r="H6" s="18" t="s">
        <v>71</v>
      </c>
      <c r="I6" s="18">
        <f>'MERCADO TUSD'!$U$3</f>
        <v>8328</v>
      </c>
      <c r="J6" s="15"/>
      <c r="L6" s="13">
        <f>'TUSD BE'!$L$6*'TUSD BE'!$L$58</f>
        <v>0</v>
      </c>
      <c r="M6" s="13">
        <f>'TUSD BE'!$M$6*'TUSD BE'!$M$58</f>
        <v>0</v>
      </c>
      <c r="N6" s="13">
        <f ca="1">'TUSD BE'!$N$6*'TUSD BE'!$N$58</f>
        <v>0</v>
      </c>
      <c r="O6" s="13">
        <f>'TUSD BE'!$O$6*'TUSD BE'!$O$58</f>
        <v>0</v>
      </c>
      <c r="P6" s="13">
        <f>'TUSD BE'!$P$6*'TUSD BE'!$P$58</f>
        <v>0</v>
      </c>
      <c r="Q6" s="13">
        <f>'TUSD BE'!$Q$6*'TUSD BE'!$Q$58</f>
        <v>0</v>
      </c>
      <c r="R6" s="13">
        <f>'TUSD BE'!$R$6*'TUSD BE'!$R$58</f>
        <v>0</v>
      </c>
      <c r="S6" s="13">
        <f>'TUSD BE'!$R$6*'TUSD BE'!$S$58</f>
        <v>0</v>
      </c>
      <c r="T6" s="13">
        <f ca="1">SUM($L$6:$S$6)</f>
        <v>0</v>
      </c>
      <c r="U6" s="13">
        <f>'TUSD BE'!$U$6*'TUSD BE'!$U$58</f>
        <v>0</v>
      </c>
      <c r="V6" s="13">
        <f>'TUSD BE'!$V$6*'TUSD BE'!$V$58</f>
        <v>0</v>
      </c>
      <c r="W6" s="13">
        <f>'TUSD BE'!$W$6*'TUSD BE'!$W$58</f>
        <v>0</v>
      </c>
      <c r="X6" s="13">
        <f>'TUSD BE'!$X$6*'TUSD BE'!$X$58</f>
        <v>0</v>
      </c>
      <c r="Y6" s="13">
        <f>'TUSD BE'!$Y$6*'TUSD BE'!$Y$58</f>
        <v>0.20432494097162365</v>
      </c>
      <c r="Z6" s="13">
        <f>'TUSD BE'!$Z$6*'TUSD BE'!$Z$58</f>
        <v>0</v>
      </c>
      <c r="AA6" s="13">
        <f>'TUSD BE'!$AA$6*'TUSD BE'!$AA$58</f>
        <v>0</v>
      </c>
      <c r="AB6" s="13">
        <f>SUM($U$6:$AA$6)</f>
        <v>0.20432494097162365</v>
      </c>
      <c r="AC6" s="13">
        <f>'TUSD BE'!$AC$6*'TUSD BE'!$AC$58</f>
        <v>-6.7417400761801263</v>
      </c>
      <c r="AD6" s="13">
        <f>SUM($AC$6:$AC$6)</f>
        <v>-6.7417400761801263</v>
      </c>
      <c r="AE6" s="13">
        <f ca="1">$AO$6*$AO$55</f>
        <v>0</v>
      </c>
      <c r="AF6" s="13">
        <f ca="1">$AP$6*$AP$55</f>
        <v>0</v>
      </c>
      <c r="AG6" s="13">
        <f ca="1">SUM($AE$6:$AF$6)</f>
        <v>0</v>
      </c>
      <c r="AH6" s="13">
        <f>'TUSD BE'!$AH$6*'TUSD BE'!$AH$58</f>
        <v>0</v>
      </c>
      <c r="AI6" s="13">
        <f>'TUSD BE'!$AI$6*'TUSD BE'!$AI$58</f>
        <v>0</v>
      </c>
      <c r="AJ6" s="13">
        <f ca="1">'TUSD BE'!$AJ$6*'TUSD BE'!$AJ$58</f>
        <v>0</v>
      </c>
      <c r="AK6" s="13">
        <f ca="1">'TUSD BE'!$AK$6*'TUSD BE'!$AK$58</f>
        <v>0</v>
      </c>
      <c r="AL6" s="13">
        <f ca="1">SUM($AH$6:$AK$6)</f>
        <v>0</v>
      </c>
      <c r="AM6" s="13">
        <f ca="1">SUMIF($L$4:$AL$4,"SUBTOTAL",$L$6:$AL$6)</f>
        <v>-6.5374151352085024</v>
      </c>
      <c r="AO6" s="20">
        <f ca="1">+'TUSD BE'!$T$6+'TUSD BE'!$AB$6+'TUSD BE'!$AD$6+'TUSD BE'!$AL$6</f>
        <v>25.396886995244092</v>
      </c>
      <c r="AP6" s="20">
        <f ca="1">+'TUSD BE'!$T$6+'TUSD BE'!$AB$6+'TUSD BE'!$AD$6+'TUSD BE'!$AL$6</f>
        <v>25.396886995244092</v>
      </c>
    </row>
    <row r="7" spans="1:42" ht="11.25" customHeight="1" x14ac:dyDescent="0.3">
      <c r="A7" s="91"/>
      <c r="B7" s="91"/>
      <c r="C7" s="91"/>
      <c r="D7" s="91"/>
      <c r="E7" s="91"/>
      <c r="F7" s="91"/>
      <c r="G7" s="18" t="s">
        <v>74</v>
      </c>
      <c r="H7" s="18" t="s">
        <v>68</v>
      </c>
      <c r="I7" s="18">
        <f>'MERCADO TUSD'!$U$4</f>
        <v>2993.7760000000003</v>
      </c>
      <c r="J7" s="15"/>
      <c r="L7" s="13">
        <f>'TUSD BE'!$L$7*'TUSD BE'!$L$58</f>
        <v>0</v>
      </c>
      <c r="M7" s="13">
        <f>'TUSD BE'!$M$7*'TUSD BE'!$M$58</f>
        <v>-5.1639578182169701E-2</v>
      </c>
      <c r="N7" s="13">
        <f ca="1">'TUSD BE'!$N$7*'TUSD BE'!$N$58</f>
        <v>0</v>
      </c>
      <c r="O7" s="13">
        <f>'TUSD BE'!$O$7*'TUSD BE'!$O$58</f>
        <v>0</v>
      </c>
      <c r="P7" s="13">
        <f>'TUSD BE'!$P$7*'TUSD BE'!$P$58</f>
        <v>0</v>
      </c>
      <c r="Q7" s="13">
        <f>'TUSD BE'!$Q$7*'TUSD BE'!$Q$58</f>
        <v>-4.9839190729538565</v>
      </c>
      <c r="R7" s="13">
        <f>'TUSD BE'!$R$7*'TUSD BE'!$R$58</f>
        <v>-0.96861079194913424</v>
      </c>
      <c r="S7" s="13">
        <f>'TUSD BE'!$R$7*'TUSD BE'!$S$58</f>
        <v>0</v>
      </c>
      <c r="T7" s="13">
        <f ca="1">SUM($L$7:$S$7)</f>
        <v>-6.0041694430851607</v>
      </c>
      <c r="U7" s="13">
        <f>'TUSD BE'!$U$7*'TUSD BE'!$U$58</f>
        <v>0</v>
      </c>
      <c r="V7" s="13">
        <f>'TUSD BE'!$V$7*'TUSD BE'!$V$58</f>
        <v>0</v>
      </c>
      <c r="W7" s="13">
        <f>'TUSD BE'!$W$7*'TUSD BE'!$W$58</f>
        <v>0</v>
      </c>
      <c r="X7" s="13">
        <f>'TUSD BE'!$X$7*'TUSD BE'!$X$58</f>
        <v>0</v>
      </c>
      <c r="Y7" s="13">
        <f>'TUSD BE'!$Y$7*'TUSD BE'!$Y$58</f>
        <v>0</v>
      </c>
      <c r="Z7" s="13">
        <f>'TUSD BE'!$Z$7*'TUSD BE'!$Z$58</f>
        <v>0</v>
      </c>
      <c r="AA7" s="13">
        <f>'TUSD BE'!$AA$7*'TUSD BE'!$AA$58</f>
        <v>0</v>
      </c>
      <c r="AB7" s="13">
        <f>SUM($U$7:$AA$7)</f>
        <v>0</v>
      </c>
      <c r="AC7" s="13">
        <f>'TUSD BE'!$AC$7*'TUSD BE'!$AC$58</f>
        <v>0</v>
      </c>
      <c r="AD7" s="13">
        <f>SUM($AC$7:$AC$7)</f>
        <v>0</v>
      </c>
      <c r="AE7" s="13">
        <f ca="1">$AO$7*$AO$55</f>
        <v>0</v>
      </c>
      <c r="AF7" s="13">
        <f ca="1">$AP$7*$AP$55</f>
        <v>0</v>
      </c>
      <c r="AG7" s="13">
        <f ca="1">SUM($AE$7:$AF$7)</f>
        <v>0</v>
      </c>
      <c r="AH7" s="13">
        <f>'TUSD BE'!$AH$7*'TUSD BE'!$AH$58</f>
        <v>0.46847510794890729</v>
      </c>
      <c r="AI7" s="13">
        <f>'TUSD BE'!$AI$7*'TUSD BE'!$AI$58</f>
        <v>0</v>
      </c>
      <c r="AJ7" s="13">
        <f ca="1">'TUSD BE'!$AJ$7*'TUSD BE'!$AJ$58</f>
        <v>0</v>
      </c>
      <c r="AK7" s="13">
        <f ca="1">'TUSD BE'!$AK$7*'TUSD BE'!$AK$58</f>
        <v>0</v>
      </c>
      <c r="AL7" s="13">
        <f ca="1">SUM($AH$7:$AK$7)</f>
        <v>0.46847510794890729</v>
      </c>
      <c r="AM7" s="13">
        <f ca="1">SUMIF($L$4:$AL$4,"SUBTOTAL",$L$7:$AL$7)</f>
        <v>-5.5356943351362533</v>
      </c>
      <c r="AO7" s="20">
        <f ca="1">+'TUSD BE'!$T$7+'TUSD BE'!$AB$7+'TUSD BE'!$AD$7+'TUSD BE'!$AL$7</f>
        <v>96.965155492110696</v>
      </c>
      <c r="AP7" s="20">
        <f ca="1">+'TUSD BE'!$T$7+'TUSD BE'!$AB$7+'TUSD BE'!$AD$7+'TUSD BE'!$AL$7</f>
        <v>96.965155492110696</v>
      </c>
    </row>
    <row r="8" spans="1:42" ht="11.25" customHeight="1" x14ac:dyDescent="0.3">
      <c r="A8" s="91"/>
      <c r="B8" s="91"/>
      <c r="C8" s="91"/>
      <c r="D8" s="91"/>
      <c r="E8" s="17" t="s">
        <v>75</v>
      </c>
      <c r="F8" s="17" t="s">
        <v>25</v>
      </c>
      <c r="G8" s="18" t="s">
        <v>74</v>
      </c>
      <c r="H8" s="18" t="s">
        <v>68</v>
      </c>
      <c r="I8" s="18">
        <f>'MERCADO TUSD'!$U$5</f>
        <v>0</v>
      </c>
      <c r="J8" s="15"/>
      <c r="L8" s="13">
        <f>'TUSD BE'!$L$8*'TUSD BE'!$L$58</f>
        <v>0</v>
      </c>
      <c r="M8" s="13">
        <f>'TUSD BE'!$M$8*'TUSD BE'!$M$58</f>
        <v>-5.1639578182169701E-2</v>
      </c>
      <c r="N8" s="13">
        <f ca="1">'TUSD BE'!$N$8*'TUSD BE'!$N$58</f>
        <v>0</v>
      </c>
      <c r="O8" s="13">
        <f>'TUSD BE'!$O$8*'TUSD BE'!$O$58</f>
        <v>0</v>
      </c>
      <c r="P8" s="13">
        <f>'TUSD BE'!$P$8*'TUSD BE'!$P$58</f>
        <v>0</v>
      </c>
      <c r="Q8" s="13">
        <f>'TUSD BE'!$Q$8*'TUSD BE'!$Q$58</f>
        <v>0</v>
      </c>
      <c r="R8" s="13">
        <f>'TUSD BE'!$R$8*'TUSD BE'!$R$58</f>
        <v>0</v>
      </c>
      <c r="S8" s="13">
        <f>'TUSD BE'!$R$8*'TUSD BE'!$S$58</f>
        <v>0</v>
      </c>
      <c r="T8" s="13">
        <f ca="1">SUM($L$8:$S$8)</f>
        <v>-5.1639578182169701E-2</v>
      </c>
      <c r="U8" s="13">
        <f>'TUSD BE'!$U$8*'TUSD BE'!$U$58</f>
        <v>0</v>
      </c>
      <c r="V8" s="13">
        <f>'TUSD BE'!$V$8*'TUSD BE'!$V$58</f>
        <v>0</v>
      </c>
      <c r="W8" s="13">
        <f>'TUSD BE'!$W$8*'TUSD BE'!$W$58</f>
        <v>0</v>
      </c>
      <c r="X8" s="13">
        <f>'TUSD BE'!$X$8*'TUSD BE'!$X$58</f>
        <v>0</v>
      </c>
      <c r="Y8" s="13">
        <f>'TUSD BE'!$Y$8*'TUSD BE'!$Y$58</f>
        <v>0</v>
      </c>
      <c r="Z8" s="13">
        <f>'TUSD BE'!$Z$8*'TUSD BE'!$Z$58</f>
        <v>0</v>
      </c>
      <c r="AA8" s="13">
        <f>'TUSD BE'!$AA$8*'TUSD BE'!$AA$58</f>
        <v>0</v>
      </c>
      <c r="AB8" s="13">
        <f>SUM($U$8:$AA$8)</f>
        <v>0</v>
      </c>
      <c r="AC8" s="13">
        <f>'TUSD BE'!$AC$8*'TUSD BE'!$AC$58</f>
        <v>0</v>
      </c>
      <c r="AD8" s="13">
        <f>SUM($AC$8:$AC$8)</f>
        <v>0</v>
      </c>
      <c r="AE8" s="13">
        <f ca="1">$AO$8*$AO$55</f>
        <v>0</v>
      </c>
      <c r="AF8" s="13">
        <f ca="1">$AP$8*$AP$55</f>
        <v>0</v>
      </c>
      <c r="AG8" s="13">
        <f ca="1">SUM($AE$8:$AF$8)</f>
        <v>0</v>
      </c>
      <c r="AH8" s="13">
        <f>'TUSD BE'!$AH$8*'TUSD BE'!$AH$58</f>
        <v>0.46847510794890729</v>
      </c>
      <c r="AI8" s="13">
        <f>'TUSD BE'!$AI$8*'TUSD BE'!$AI$58</f>
        <v>0</v>
      </c>
      <c r="AJ8" s="13">
        <f ca="1">'TUSD BE'!$AJ$8*'TUSD BE'!$AJ$58</f>
        <v>0</v>
      </c>
      <c r="AK8" s="13">
        <f ca="1">'TUSD BE'!$AK$8*'TUSD BE'!$AK$58</f>
        <v>0</v>
      </c>
      <c r="AL8" s="13">
        <f ca="1">SUM($AH$8:$AK$8)</f>
        <v>0.46847510794890729</v>
      </c>
      <c r="AM8" s="13">
        <f ca="1">SUMIF($L$4:$AL$4,"SUBTOTAL",$L$8:$AL$8)</f>
        <v>0.4168355297667376</v>
      </c>
      <c r="AO8" s="20">
        <f ca="1">+'TUSD BE'!$T$8+'TUSD BE'!$AB$8+'TUSD BE'!$AD$8+'TUSD BE'!$AL$8</f>
        <v>7.1645600626892358</v>
      </c>
      <c r="AP8" s="20">
        <f ca="1">+'TUSD BE'!$T$8+'TUSD BE'!$AB$8+'TUSD BE'!$AD$8+'TUSD BE'!$AL$8</f>
        <v>7.1645600626892358</v>
      </c>
    </row>
    <row r="9" spans="1:42" ht="11.25" customHeight="1" x14ac:dyDescent="0.3">
      <c r="A9" s="91"/>
      <c r="B9" s="17" t="s">
        <v>76</v>
      </c>
      <c r="C9" s="17" t="s">
        <v>25</v>
      </c>
      <c r="D9" s="17" t="s">
        <v>25</v>
      </c>
      <c r="E9" s="17" t="s">
        <v>25</v>
      </c>
      <c r="F9" s="17" t="s">
        <v>25</v>
      </c>
      <c r="G9" s="18" t="s">
        <v>9</v>
      </c>
      <c r="H9" s="18" t="s">
        <v>71</v>
      </c>
      <c r="I9" s="18">
        <f>'MERCADO TUSD'!$U$6</f>
        <v>0</v>
      </c>
      <c r="J9" s="15"/>
      <c r="L9" s="13">
        <f>'TUSD BE'!$L$9*'TUSD BE'!$L$58</f>
        <v>0</v>
      </c>
      <c r="M9" s="13">
        <f>'TUSD BE'!$M$9*'TUSD BE'!$M$58</f>
        <v>-8.3920956525725284E-4</v>
      </c>
      <c r="N9" s="13">
        <f ca="1">'TUSD BE'!$N$9*'TUSD BE'!$N$58</f>
        <v>0</v>
      </c>
      <c r="O9" s="13">
        <f>'TUSD BE'!$O$9*'TUSD BE'!$O$58</f>
        <v>0</v>
      </c>
      <c r="P9" s="13">
        <f>'TUSD BE'!$P$9*'TUSD BE'!$P$58</f>
        <v>0</v>
      </c>
      <c r="Q9" s="13">
        <f>'TUSD BE'!$Q$9*'TUSD BE'!$Q$58</f>
        <v>0</v>
      </c>
      <c r="R9" s="13">
        <f>'TUSD BE'!$R$9*'TUSD BE'!$R$58</f>
        <v>0</v>
      </c>
      <c r="S9" s="13">
        <f>'TUSD BE'!$R$9*'TUSD BE'!$S$58</f>
        <v>0</v>
      </c>
      <c r="T9" s="13">
        <f ca="1">SUM($L$9:$S$9)</f>
        <v>-8.3920956525725284E-4</v>
      </c>
      <c r="U9" s="13">
        <f>'TUSD BE'!$U$9*'TUSD BE'!$U$58</f>
        <v>0</v>
      </c>
      <c r="V9" s="13">
        <f>'TUSD BE'!$V$9*'TUSD BE'!$V$58</f>
        <v>0</v>
      </c>
      <c r="W9" s="13">
        <f>'TUSD BE'!$W$9*'TUSD BE'!$W$58</f>
        <v>0</v>
      </c>
      <c r="X9" s="13">
        <f>'TUSD BE'!$X$9*'TUSD BE'!$X$58</f>
        <v>0</v>
      </c>
      <c r="Y9" s="13">
        <f>'TUSD BE'!$Y$9*'TUSD BE'!$Y$58</f>
        <v>0</v>
      </c>
      <c r="Z9" s="13">
        <f>'TUSD BE'!$Z$9*'TUSD BE'!$Z$58</f>
        <v>0</v>
      </c>
      <c r="AA9" s="13">
        <f>'TUSD BE'!$AA$9*'TUSD BE'!$AA$58</f>
        <v>0</v>
      </c>
      <c r="AB9" s="13">
        <f>SUM($U$9:$AA$9)</f>
        <v>0</v>
      </c>
      <c r="AC9" s="13">
        <f>'TUSD BE'!$AC$9*'TUSD BE'!$AC$58</f>
        <v>-3.0499196043494683</v>
      </c>
      <c r="AD9" s="13">
        <f>SUM($AC$9:$AC$9)</f>
        <v>-3.0499196043494683</v>
      </c>
      <c r="AE9" s="13">
        <f ca="1">$AO$9*$AO$55</f>
        <v>0</v>
      </c>
      <c r="AF9" s="13">
        <f ca="1">$AP$9*$AP$55</f>
        <v>0</v>
      </c>
      <c r="AG9" s="13">
        <f ca="1">SUM($AE$9:$AF$9)</f>
        <v>0</v>
      </c>
      <c r="AH9" s="13">
        <f>'TUSD BE'!$AH$9*'TUSD BE'!$AH$58</f>
        <v>0</v>
      </c>
      <c r="AI9" s="13">
        <f>'TUSD BE'!$AI$9*'TUSD BE'!$AI$58</f>
        <v>0</v>
      </c>
      <c r="AJ9" s="13">
        <f ca="1">'TUSD BE'!$AJ$9*'TUSD BE'!$AJ$58</f>
        <v>0</v>
      </c>
      <c r="AK9" s="13">
        <f ca="1">'TUSD BE'!$AK$9*'TUSD BE'!$AK$58</f>
        <v>0</v>
      </c>
      <c r="AL9" s="13">
        <f ca="1">SUM($AH$9:$AK$9)</f>
        <v>0</v>
      </c>
      <c r="AM9" s="13">
        <f ca="1">SUMIF($L$4:$AL$4,"SUBTOTAL",$L$9:$AL$9)</f>
        <v>-3.0507588139147255</v>
      </c>
      <c r="AO9" s="20">
        <f ca="1">+'TUSD BE'!$T$9+'TUSD BE'!$AB$9+'TUSD BE'!$AD$9+'TUSD BE'!$AL$9</f>
        <v>5.9097006107951522</v>
      </c>
      <c r="AP9" s="20">
        <f ca="1">+'TUSD BE'!$T$9+'TUSD BE'!$AB$9+'TUSD BE'!$AD$9+'TUSD BE'!$AL$9</f>
        <v>5.9097006107951522</v>
      </c>
    </row>
    <row r="10" spans="1:42" ht="11.25" customHeight="1" x14ac:dyDescent="0.3">
      <c r="A10" s="91"/>
      <c r="B10" s="91" t="s">
        <v>37</v>
      </c>
      <c r="C10" s="91" t="s">
        <v>25</v>
      </c>
      <c r="D10" s="91" t="s">
        <v>25</v>
      </c>
      <c r="E10" s="91" t="s">
        <v>25</v>
      </c>
      <c r="F10" s="91" t="s">
        <v>25</v>
      </c>
      <c r="G10" s="18" t="s">
        <v>9</v>
      </c>
      <c r="H10" s="18" t="s">
        <v>71</v>
      </c>
      <c r="I10" s="18">
        <f>'MERCADO TUSD'!$U$7</f>
        <v>36616</v>
      </c>
      <c r="J10" s="15"/>
      <c r="L10" s="13">
        <f>'TUSD BE'!$L$10*'TUSD BE'!$L$58</f>
        <v>0</v>
      </c>
      <c r="M10" s="13">
        <f>'TUSD BE'!$M$10*'TUSD BE'!$M$58</f>
        <v>0</v>
      </c>
      <c r="N10" s="13">
        <f ca="1">'TUSD BE'!$N$10*'TUSD BE'!$N$58</f>
        <v>0</v>
      </c>
      <c r="O10" s="13">
        <f>'TUSD BE'!$O$10*'TUSD BE'!$O$58</f>
        <v>0</v>
      </c>
      <c r="P10" s="13">
        <f>'TUSD BE'!$P$10*'TUSD BE'!$P$58</f>
        <v>0</v>
      </c>
      <c r="Q10" s="13">
        <f>'TUSD BE'!$Q$10*'TUSD BE'!$Q$58</f>
        <v>0</v>
      </c>
      <c r="R10" s="13">
        <f>'TUSD BE'!$R$10*'TUSD BE'!$R$58</f>
        <v>0</v>
      </c>
      <c r="S10" s="13">
        <f>'TUSD BE'!$R$10*'TUSD BE'!$S$58</f>
        <v>0</v>
      </c>
      <c r="T10" s="13">
        <f ca="1">SUM($L$10:$S$10)</f>
        <v>0</v>
      </c>
      <c r="U10" s="13">
        <f>'TUSD BE'!$U$10*'TUSD BE'!$U$58</f>
        <v>0</v>
      </c>
      <c r="V10" s="13">
        <f>'TUSD BE'!$V$10*'TUSD BE'!$V$58</f>
        <v>0</v>
      </c>
      <c r="W10" s="13">
        <f>'TUSD BE'!$W$10*'TUSD BE'!$W$58</f>
        <v>0</v>
      </c>
      <c r="X10" s="13">
        <f>'TUSD BE'!$X$10*'TUSD BE'!$X$58</f>
        <v>0</v>
      </c>
      <c r="Y10" s="13">
        <f>'TUSD BE'!$Y$10*'TUSD BE'!$Y$58</f>
        <v>0.20432494097162365</v>
      </c>
      <c r="Z10" s="13">
        <f>'TUSD BE'!$Z$10*'TUSD BE'!$Z$58</f>
        <v>0</v>
      </c>
      <c r="AA10" s="13">
        <f>'TUSD BE'!$AA$10*'TUSD BE'!$AA$58</f>
        <v>0</v>
      </c>
      <c r="AB10" s="13">
        <f>SUM($U$10:$AA$10)</f>
        <v>0.20432494097162365</v>
      </c>
      <c r="AC10" s="13">
        <f>'TUSD BE'!$AC$10*'TUSD BE'!$AC$58</f>
        <v>-6.7417400761801263</v>
      </c>
      <c r="AD10" s="13">
        <f>SUM($AC$10:$AC$10)</f>
        <v>-6.7417400761801263</v>
      </c>
      <c r="AE10" s="13">
        <f ca="1">$AO$10*$AO$55</f>
        <v>0</v>
      </c>
      <c r="AF10" s="13">
        <f ca="1">$AP$10*$AP$55</f>
        <v>0</v>
      </c>
      <c r="AG10" s="13">
        <f ca="1">SUM($AE$10:$AF$10)</f>
        <v>0</v>
      </c>
      <c r="AH10" s="13">
        <f>'TUSD BE'!$AH$10*'TUSD BE'!$AH$58</f>
        <v>0</v>
      </c>
      <c r="AI10" s="13">
        <f>'TUSD BE'!$AI$10*'TUSD BE'!$AI$58</f>
        <v>0</v>
      </c>
      <c r="AJ10" s="13">
        <f ca="1">'TUSD BE'!$AJ$10*'TUSD BE'!$AJ$58</f>
        <v>0</v>
      </c>
      <c r="AK10" s="13">
        <f ca="1">'TUSD BE'!$AK$10*'TUSD BE'!$AK$58</f>
        <v>0</v>
      </c>
      <c r="AL10" s="13">
        <f ca="1">SUM($AH$10:$AK$10)</f>
        <v>0</v>
      </c>
      <c r="AM10" s="13">
        <f ca="1">SUMIF($L$4:$AL$4,"SUBTOTAL",$L$10:$AL$10)</f>
        <v>-6.5374151352085024</v>
      </c>
      <c r="AO10" s="20">
        <f ca="1">+'TUSD BE'!$T$10+'TUSD BE'!$AB$10+'TUSD BE'!$AD$10+'TUSD BE'!$AL$10</f>
        <v>25.396886995244092</v>
      </c>
      <c r="AP10" s="20">
        <f ca="1">+'TUSD BE'!$T$10+'TUSD BE'!$AB$10+'TUSD BE'!$AD$10+'TUSD BE'!$AL$10</f>
        <v>25.396886995244092</v>
      </c>
    </row>
    <row r="11" spans="1:42" ht="11.25" customHeight="1" x14ac:dyDescent="0.3">
      <c r="A11" s="91"/>
      <c r="B11" s="91"/>
      <c r="C11" s="91"/>
      <c r="D11" s="91"/>
      <c r="E11" s="91"/>
      <c r="F11" s="91"/>
      <c r="G11" s="18" t="s">
        <v>69</v>
      </c>
      <c r="H11" s="18" t="s">
        <v>68</v>
      </c>
      <c r="I11" s="18">
        <f>'MERCADO TUSD'!$U$8</f>
        <v>561.45399999999995</v>
      </c>
      <c r="J11" s="15"/>
      <c r="L11" s="13">
        <f>'TUSD BE'!$L$11*'TUSD BE'!$L$58</f>
        <v>0</v>
      </c>
      <c r="M11" s="13">
        <f>'TUSD BE'!$M$11*'TUSD BE'!$M$58</f>
        <v>-5.1639578182169701E-2</v>
      </c>
      <c r="N11" s="13">
        <f ca="1">'TUSD BE'!$N$11*'TUSD BE'!$N$58</f>
        <v>0</v>
      </c>
      <c r="O11" s="13">
        <f>'TUSD BE'!$O$11*'TUSD BE'!$O$58</f>
        <v>0</v>
      </c>
      <c r="P11" s="13">
        <f>'TUSD BE'!$P$11*'TUSD BE'!$P$58</f>
        <v>0</v>
      </c>
      <c r="Q11" s="13">
        <f>'TUSD BE'!$Q$11*'TUSD BE'!$Q$58</f>
        <v>-4.9839190729538565</v>
      </c>
      <c r="R11" s="13">
        <f>'TUSD BE'!$R$11*'TUSD BE'!$R$58</f>
        <v>-0.96861079194913424</v>
      </c>
      <c r="S11" s="13">
        <f>'TUSD BE'!$R$11*'TUSD BE'!$S$58</f>
        <v>0</v>
      </c>
      <c r="T11" s="13">
        <f ca="1">SUM($L$11:$S$11)</f>
        <v>-6.0041694430851607</v>
      </c>
      <c r="U11" s="13">
        <f>'TUSD BE'!$U$11*'TUSD BE'!$U$58</f>
        <v>0</v>
      </c>
      <c r="V11" s="13">
        <f>'TUSD BE'!$V$11*'TUSD BE'!$V$58</f>
        <v>0</v>
      </c>
      <c r="W11" s="13">
        <f>'TUSD BE'!$W$11*'TUSD BE'!$W$58</f>
        <v>0</v>
      </c>
      <c r="X11" s="13">
        <f>'TUSD BE'!$X$11*'TUSD BE'!$X$58</f>
        <v>0</v>
      </c>
      <c r="Y11" s="13">
        <f>'TUSD BE'!$Y$11*'TUSD BE'!$Y$58</f>
        <v>12.162601154563712</v>
      </c>
      <c r="Z11" s="13">
        <f>'TUSD BE'!$Z$11*'TUSD BE'!$Z$58</f>
        <v>0</v>
      </c>
      <c r="AA11" s="13">
        <f>'TUSD BE'!$AA$11*'TUSD BE'!$AA$58</f>
        <v>0</v>
      </c>
      <c r="AB11" s="13">
        <f>SUM($U$11:$AA$11)</f>
        <v>12.162601154563712</v>
      </c>
      <c r="AC11" s="13">
        <f>'TUSD BE'!$AC$11*'TUSD BE'!$AC$58</f>
        <v>-580.23749719971318</v>
      </c>
      <c r="AD11" s="13">
        <f>SUM($AC$11:$AC$11)</f>
        <v>-580.23749719971318</v>
      </c>
      <c r="AE11" s="13">
        <f ca="1">$AO$11*$AO$55</f>
        <v>0</v>
      </c>
      <c r="AF11" s="13">
        <f ca="1">$AP$11*$AP$55</f>
        <v>0</v>
      </c>
      <c r="AG11" s="13">
        <f ca="1">SUM($AE$11:$AF$11)</f>
        <v>0</v>
      </c>
      <c r="AH11" s="13">
        <f>'TUSD BE'!$AH$11*'TUSD BE'!$AH$58</f>
        <v>0.46847510794890729</v>
      </c>
      <c r="AI11" s="13">
        <f>'TUSD BE'!$AI$11*'TUSD BE'!$AI$58</f>
        <v>0</v>
      </c>
      <c r="AJ11" s="13">
        <f ca="1">'TUSD BE'!$AJ$11*'TUSD BE'!$AJ$58</f>
        <v>0</v>
      </c>
      <c r="AK11" s="13">
        <f ca="1">'TUSD BE'!$AK$11*'TUSD BE'!$AK$58</f>
        <v>0</v>
      </c>
      <c r="AL11" s="13">
        <f ca="1">SUM($AH$11:$AK$11)</f>
        <v>0.46847510794890729</v>
      </c>
      <c r="AM11" s="13">
        <f ca="1">SUMIF($L$4:$AL$4,"SUBTOTAL",$L$11:$AL$11)</f>
        <v>-573.61059038028566</v>
      </c>
      <c r="AO11" s="20">
        <f ca="1">+'TUSD BE'!$T$11+'TUSD BE'!$AB$11+'TUSD BE'!$AD$11+'TUSD BE'!$AL$11</f>
        <v>1954.8371475229897</v>
      </c>
      <c r="AP11" s="20">
        <f ca="1">+'TUSD BE'!$T$11+'TUSD BE'!$AB$11+'TUSD BE'!$AD$11+'TUSD BE'!$AL$11</f>
        <v>1954.8371475229897</v>
      </c>
    </row>
    <row r="12" spans="1:42" ht="11.25" customHeight="1" x14ac:dyDescent="0.3">
      <c r="A12" s="91"/>
      <c r="B12" s="91"/>
      <c r="C12" s="91"/>
      <c r="D12" s="91"/>
      <c r="E12" s="91"/>
      <c r="F12" s="91"/>
      <c r="G12" s="18" t="s">
        <v>70</v>
      </c>
      <c r="H12" s="18" t="s">
        <v>68</v>
      </c>
      <c r="I12" s="18">
        <f>'MERCADO TUSD'!$U$9</f>
        <v>7702.3809999999985</v>
      </c>
      <c r="J12" s="15"/>
      <c r="L12" s="13">
        <f>'TUSD BE'!$L$12*'TUSD BE'!$L$58</f>
        <v>0</v>
      </c>
      <c r="M12" s="13">
        <f>'TUSD BE'!$M$12*'TUSD BE'!$M$58</f>
        <v>-5.1639578182169701E-2</v>
      </c>
      <c r="N12" s="13">
        <f ca="1">'TUSD BE'!$N$12*'TUSD BE'!$N$58</f>
        <v>0</v>
      </c>
      <c r="O12" s="13">
        <f>'TUSD BE'!$O$12*'TUSD BE'!$O$58</f>
        <v>0</v>
      </c>
      <c r="P12" s="13">
        <f>'TUSD BE'!$P$12*'TUSD BE'!$P$58</f>
        <v>0</v>
      </c>
      <c r="Q12" s="13">
        <f>'TUSD BE'!$Q$12*'TUSD BE'!$Q$58</f>
        <v>-4.9839190729538565</v>
      </c>
      <c r="R12" s="13">
        <f>'TUSD BE'!$R$12*'TUSD BE'!$R$58</f>
        <v>-0.96861079194913424</v>
      </c>
      <c r="S12" s="13">
        <f>'TUSD BE'!$R$12*'TUSD BE'!$S$58</f>
        <v>0</v>
      </c>
      <c r="T12" s="13">
        <f ca="1">SUM($L$12:$S$12)</f>
        <v>-6.0041694430851607</v>
      </c>
      <c r="U12" s="13">
        <f>'TUSD BE'!$U$12*'TUSD BE'!$U$58</f>
        <v>0</v>
      </c>
      <c r="V12" s="13">
        <f>'TUSD BE'!$V$12*'TUSD BE'!$V$58</f>
        <v>0</v>
      </c>
      <c r="W12" s="13">
        <f>'TUSD BE'!$W$12*'TUSD BE'!$W$58</f>
        <v>0</v>
      </c>
      <c r="X12" s="13">
        <f>'TUSD BE'!$X$12*'TUSD BE'!$X$58</f>
        <v>0</v>
      </c>
      <c r="Y12" s="13">
        <f>'TUSD BE'!$Y$12*'TUSD BE'!$Y$58</f>
        <v>0</v>
      </c>
      <c r="Z12" s="13">
        <f>'TUSD BE'!$Z$12*'TUSD BE'!$Z$58</f>
        <v>0</v>
      </c>
      <c r="AA12" s="13">
        <f>'TUSD BE'!$AA$12*'TUSD BE'!$AA$58</f>
        <v>0</v>
      </c>
      <c r="AB12" s="13">
        <f>SUM($U$12:$AA$12)</f>
        <v>0</v>
      </c>
      <c r="AC12" s="13">
        <f>'TUSD BE'!$AC$12*'TUSD BE'!$AC$58</f>
        <v>0</v>
      </c>
      <c r="AD12" s="13">
        <f>SUM($AC$12:$AC$12)</f>
        <v>0</v>
      </c>
      <c r="AE12" s="13">
        <f ca="1">$AO$12*$AO$55</f>
        <v>0</v>
      </c>
      <c r="AF12" s="13">
        <f ca="1">$AP$12*$AP$55</f>
        <v>0</v>
      </c>
      <c r="AG12" s="13">
        <f ca="1">SUM($AE$12:$AF$12)</f>
        <v>0</v>
      </c>
      <c r="AH12" s="13">
        <f>'TUSD BE'!$AH$12*'TUSD BE'!$AH$58</f>
        <v>0.46847510794890729</v>
      </c>
      <c r="AI12" s="13">
        <f>'TUSD BE'!$AI$12*'TUSD BE'!$AI$58</f>
        <v>0</v>
      </c>
      <c r="AJ12" s="13">
        <f ca="1">'TUSD BE'!$AJ$12*'TUSD BE'!$AJ$58</f>
        <v>0</v>
      </c>
      <c r="AK12" s="13">
        <f ca="1">'TUSD BE'!$AK$12*'TUSD BE'!$AK$58</f>
        <v>0</v>
      </c>
      <c r="AL12" s="13">
        <f ca="1">SUM($AH$12:$AK$12)</f>
        <v>0.46847510794890729</v>
      </c>
      <c r="AM12" s="13">
        <f ca="1">SUMIF($L$4:$AL$4,"SUBTOTAL",$L$12:$AL$12)</f>
        <v>-5.5356943351362533</v>
      </c>
      <c r="AO12" s="20">
        <f ca="1">+'TUSD BE'!$T$12+'TUSD BE'!$AB$12+'TUSD BE'!$AD$12+'TUSD BE'!$AL$12</f>
        <v>96.965155492110696</v>
      </c>
      <c r="AP12" s="20">
        <f ca="1">+'TUSD BE'!$T$12+'TUSD BE'!$AB$12+'TUSD BE'!$AD$12+'TUSD BE'!$AL$12</f>
        <v>96.965155492110696</v>
      </c>
    </row>
    <row r="13" spans="1:42" ht="11.25" customHeight="1" x14ac:dyDescent="0.3">
      <c r="A13" s="91"/>
      <c r="B13" s="91"/>
      <c r="C13" s="91"/>
      <c r="D13" s="91"/>
      <c r="E13" s="91" t="s">
        <v>75</v>
      </c>
      <c r="F13" s="91" t="s">
        <v>25</v>
      </c>
      <c r="G13" s="18" t="s">
        <v>69</v>
      </c>
      <c r="H13" s="18" t="s">
        <v>68</v>
      </c>
      <c r="I13" s="18">
        <f>'MERCADO TUSD'!$U$10</f>
        <v>0</v>
      </c>
      <c r="J13" s="15"/>
      <c r="L13" s="13">
        <f>'TUSD BE'!$L$13*'TUSD BE'!$L$58</f>
        <v>0</v>
      </c>
      <c r="M13" s="13">
        <f>'TUSD BE'!$M$13*'TUSD BE'!$M$58</f>
        <v>-5.1639578182169701E-2</v>
      </c>
      <c r="N13" s="13">
        <f ca="1">'TUSD BE'!$N$13*'TUSD BE'!$N$58</f>
        <v>0</v>
      </c>
      <c r="O13" s="13">
        <f>'TUSD BE'!$O$13*'TUSD BE'!$O$58</f>
        <v>0</v>
      </c>
      <c r="P13" s="13">
        <f>'TUSD BE'!$P$13*'TUSD BE'!$P$58</f>
        <v>0</v>
      </c>
      <c r="Q13" s="13">
        <f>'TUSD BE'!$Q$13*'TUSD BE'!$Q$58</f>
        <v>0</v>
      </c>
      <c r="R13" s="13">
        <f>'TUSD BE'!$R$13*'TUSD BE'!$R$58</f>
        <v>0</v>
      </c>
      <c r="S13" s="13">
        <f>'TUSD BE'!$R$13*'TUSD BE'!$S$58</f>
        <v>0</v>
      </c>
      <c r="T13" s="13">
        <f ca="1">SUM($L$13:$S$13)</f>
        <v>-5.1639578182169701E-2</v>
      </c>
      <c r="U13" s="13">
        <f>'TUSD BE'!$U$13*'TUSD BE'!$U$58</f>
        <v>0</v>
      </c>
      <c r="V13" s="13">
        <f>'TUSD BE'!$V$13*'TUSD BE'!$V$58</f>
        <v>0</v>
      </c>
      <c r="W13" s="13">
        <f>'TUSD BE'!$W$13*'TUSD BE'!$W$58</f>
        <v>0</v>
      </c>
      <c r="X13" s="13">
        <f>'TUSD BE'!$X$13*'TUSD BE'!$X$58</f>
        <v>0</v>
      </c>
      <c r="Y13" s="13">
        <f>'TUSD BE'!$Y$13*'TUSD BE'!$Y$58</f>
        <v>12.162601154563712</v>
      </c>
      <c r="Z13" s="13">
        <f>'TUSD BE'!$Z$13*'TUSD BE'!$Z$58</f>
        <v>0</v>
      </c>
      <c r="AA13" s="13">
        <f>'TUSD BE'!$AA$13*'TUSD BE'!$AA$58</f>
        <v>0</v>
      </c>
      <c r="AB13" s="13">
        <f>SUM($U$13:$AA$13)</f>
        <v>12.162601154563712</v>
      </c>
      <c r="AC13" s="13">
        <f>'TUSD BE'!$AC$13*'TUSD BE'!$AC$58</f>
        <v>-580.23749719971318</v>
      </c>
      <c r="AD13" s="13">
        <f>SUM($AC$13:$AC$13)</f>
        <v>-580.23749719971318</v>
      </c>
      <c r="AE13" s="13">
        <f ca="1">$AO$13*$AO$55</f>
        <v>0</v>
      </c>
      <c r="AF13" s="13">
        <f ca="1">$AP$13*$AP$55</f>
        <v>0</v>
      </c>
      <c r="AG13" s="13">
        <f ca="1">SUM($AE$13:$AF$13)</f>
        <v>0</v>
      </c>
      <c r="AH13" s="13">
        <f>'TUSD BE'!$AH$13*'TUSD BE'!$AH$58</f>
        <v>0.46847510794890729</v>
      </c>
      <c r="AI13" s="13">
        <f>'TUSD BE'!$AI$13*'TUSD BE'!$AI$58</f>
        <v>0</v>
      </c>
      <c r="AJ13" s="13">
        <f ca="1">'TUSD BE'!$AJ$13*'TUSD BE'!$AJ$58</f>
        <v>0</v>
      </c>
      <c r="AK13" s="13">
        <f ca="1">'TUSD BE'!$AK$13*'TUSD BE'!$AK$58</f>
        <v>0</v>
      </c>
      <c r="AL13" s="13">
        <f ca="1">SUM($AH$13:$AK$13)</f>
        <v>0.46847510794890729</v>
      </c>
      <c r="AM13" s="13">
        <f ca="1">SUMIF($L$4:$AL$4,"SUBTOTAL",$L$13:$AL$13)</f>
        <v>-567.65806051538266</v>
      </c>
      <c r="AO13" s="20">
        <f ca="1">+'TUSD BE'!$T$13+'TUSD BE'!$AB$13+'TUSD BE'!$AD$13+'TUSD BE'!$AL$13</f>
        <v>1865.0365520935679</v>
      </c>
      <c r="AP13" s="20">
        <f ca="1">+'TUSD BE'!$T$13+'TUSD BE'!$AB$13+'TUSD BE'!$AD$13+'TUSD BE'!$AL$13</f>
        <v>1865.0365520935679</v>
      </c>
    </row>
    <row r="14" spans="1:42" ht="11.25" customHeight="1" x14ac:dyDescent="0.3">
      <c r="A14" s="91"/>
      <c r="B14" s="91"/>
      <c r="C14" s="91"/>
      <c r="D14" s="91"/>
      <c r="E14" s="91"/>
      <c r="F14" s="91"/>
      <c r="G14" s="18" t="s">
        <v>70</v>
      </c>
      <c r="H14" s="18" t="s">
        <v>68</v>
      </c>
      <c r="I14" s="18">
        <f>'MERCADO TUSD'!$U$11</f>
        <v>0</v>
      </c>
      <c r="J14" s="15"/>
      <c r="L14" s="13">
        <f>'TUSD BE'!$L$14*'TUSD BE'!$L$58</f>
        <v>0</v>
      </c>
      <c r="M14" s="13">
        <f>'TUSD BE'!$M$14*'TUSD BE'!$M$58</f>
        <v>-5.1639578182169701E-2</v>
      </c>
      <c r="N14" s="13">
        <f ca="1">'TUSD BE'!$N$14*'TUSD BE'!$N$58</f>
        <v>0</v>
      </c>
      <c r="O14" s="13">
        <f>'TUSD BE'!$O$14*'TUSD BE'!$O$58</f>
        <v>0</v>
      </c>
      <c r="P14" s="13">
        <f>'TUSD BE'!$P$14*'TUSD BE'!$P$58</f>
        <v>0</v>
      </c>
      <c r="Q14" s="13">
        <f>'TUSD BE'!$Q$14*'TUSD BE'!$Q$58</f>
        <v>0</v>
      </c>
      <c r="R14" s="13">
        <f>'TUSD BE'!$R$14*'TUSD BE'!$R$58</f>
        <v>0</v>
      </c>
      <c r="S14" s="13">
        <f>'TUSD BE'!$R$14*'TUSD BE'!$S$58</f>
        <v>0</v>
      </c>
      <c r="T14" s="13">
        <f ca="1">SUM($L$14:$S$14)</f>
        <v>-5.1639578182169701E-2</v>
      </c>
      <c r="U14" s="13">
        <f>'TUSD BE'!$U$14*'TUSD BE'!$U$58</f>
        <v>0</v>
      </c>
      <c r="V14" s="13">
        <f>'TUSD BE'!$V$14*'TUSD BE'!$V$58</f>
        <v>0</v>
      </c>
      <c r="W14" s="13">
        <f>'TUSD BE'!$W$14*'TUSD BE'!$W$58</f>
        <v>0</v>
      </c>
      <c r="X14" s="13">
        <f>'TUSD BE'!$X$14*'TUSD BE'!$X$58</f>
        <v>0</v>
      </c>
      <c r="Y14" s="13">
        <f>'TUSD BE'!$Y$14*'TUSD BE'!$Y$58</f>
        <v>0</v>
      </c>
      <c r="Z14" s="13">
        <f>'TUSD BE'!$Z$14*'TUSD BE'!$Z$58</f>
        <v>0</v>
      </c>
      <c r="AA14" s="13">
        <f>'TUSD BE'!$AA$14*'TUSD BE'!$AA$58</f>
        <v>0</v>
      </c>
      <c r="AB14" s="13">
        <f>SUM($U$14:$AA$14)</f>
        <v>0</v>
      </c>
      <c r="AC14" s="13">
        <f>'TUSD BE'!$AC$14*'TUSD BE'!$AC$58</f>
        <v>0</v>
      </c>
      <c r="AD14" s="13">
        <f>SUM($AC$14:$AC$14)</f>
        <v>0</v>
      </c>
      <c r="AE14" s="13">
        <f ca="1">$AO$14*$AO$55</f>
        <v>0</v>
      </c>
      <c r="AF14" s="13">
        <f ca="1">$AP$14*$AP$55</f>
        <v>0</v>
      </c>
      <c r="AG14" s="13">
        <f ca="1">SUM($AE$14:$AF$14)</f>
        <v>0</v>
      </c>
      <c r="AH14" s="13">
        <f>'TUSD BE'!$AH$14*'TUSD BE'!$AH$58</f>
        <v>0.46847510794890729</v>
      </c>
      <c r="AI14" s="13">
        <f>'TUSD BE'!$AI$14*'TUSD BE'!$AI$58</f>
        <v>0</v>
      </c>
      <c r="AJ14" s="13">
        <f ca="1">'TUSD BE'!$AJ$14*'TUSD BE'!$AJ$58</f>
        <v>0</v>
      </c>
      <c r="AK14" s="13">
        <f ca="1">'TUSD BE'!$AK$14*'TUSD BE'!$AK$58</f>
        <v>0</v>
      </c>
      <c r="AL14" s="13">
        <f ca="1">SUM($AH$14:$AK$14)</f>
        <v>0.46847510794890729</v>
      </c>
      <c r="AM14" s="13">
        <f ca="1">SUMIF($L$4:$AL$4,"SUBTOTAL",$L$14:$AL$14)</f>
        <v>0.4168355297667376</v>
      </c>
      <c r="AO14" s="20">
        <f ca="1">+'TUSD BE'!$T$14+'TUSD BE'!$AB$14+'TUSD BE'!$AD$14+'TUSD BE'!$AL$14</f>
        <v>7.1645600626892358</v>
      </c>
      <c r="AP14" s="20">
        <f ca="1">+'TUSD BE'!$T$14+'TUSD BE'!$AB$14+'TUSD BE'!$AD$14+'TUSD BE'!$AL$14</f>
        <v>7.1645600626892358</v>
      </c>
    </row>
    <row r="15" spans="1:42" ht="11.25" customHeight="1" x14ac:dyDescent="0.3">
      <c r="A15" s="91" t="s">
        <v>77</v>
      </c>
      <c r="B15" s="91" t="s">
        <v>76</v>
      </c>
      <c r="C15" s="91" t="s">
        <v>25</v>
      </c>
      <c r="D15" s="91" t="s">
        <v>25</v>
      </c>
      <c r="E15" s="17" t="s">
        <v>78</v>
      </c>
      <c r="F15" s="17" t="s">
        <v>25</v>
      </c>
      <c r="G15" s="18" t="s">
        <v>9</v>
      </c>
      <c r="H15" s="18" t="s">
        <v>71</v>
      </c>
      <c r="I15" s="18">
        <f>'MERCADO TUSD'!$U$12+0.00000001</f>
        <v>1E-8</v>
      </c>
      <c r="J15" s="15"/>
      <c r="L15" s="13">
        <f>'TUSD BE'!$L$15*'TUSD BE'!$L$58</f>
        <v>0</v>
      </c>
      <c r="M15" s="13">
        <f>'TUSD BE'!$M$15*'TUSD BE'!$M$58</f>
        <v>-8.6389219952952485E-4</v>
      </c>
      <c r="N15" s="13">
        <f ca="1">'TUSD BE'!$N$15*'TUSD BE'!$N$58</f>
        <v>0</v>
      </c>
      <c r="O15" s="13">
        <f>'TUSD BE'!$O$15*'TUSD BE'!$O$58</f>
        <v>0</v>
      </c>
      <c r="P15" s="13">
        <f>'TUSD BE'!$P$15*'TUSD BE'!$P$58</f>
        <v>0</v>
      </c>
      <c r="Q15" s="13">
        <f>'TUSD BE'!$Q$15*'TUSD BE'!$Q$58</f>
        <v>0</v>
      </c>
      <c r="R15" s="13">
        <f>'TUSD BE'!$R$15*'TUSD BE'!$R$58</f>
        <v>0</v>
      </c>
      <c r="S15" s="13">
        <f>'TUSD BE'!$R$15*'TUSD BE'!$S$58</f>
        <v>0</v>
      </c>
      <c r="T15" s="13">
        <f ca="1">SUM($L$15:$S$15)</f>
        <v>-8.6389219952952485E-4</v>
      </c>
      <c r="U15" s="13">
        <f>'TUSD BE'!$U$15*'TUSD BE'!$U$58</f>
        <v>0</v>
      </c>
      <c r="V15" s="13">
        <f>'TUSD BE'!$V$15*'TUSD BE'!$V$58</f>
        <v>0</v>
      </c>
      <c r="W15" s="13">
        <f>'TUSD BE'!$W$15*'TUSD BE'!$W$58</f>
        <v>0</v>
      </c>
      <c r="X15" s="13">
        <f>'TUSD BE'!$X$15*'TUSD BE'!$X$58</f>
        <v>0</v>
      </c>
      <c r="Y15" s="13">
        <f>'TUSD BE'!$Y$15*'TUSD BE'!$Y$58</f>
        <v>0</v>
      </c>
      <c r="Z15" s="13">
        <f>'TUSD BE'!$Z$15*'TUSD BE'!$Z$58</f>
        <v>0</v>
      </c>
      <c r="AA15" s="13">
        <f>'TUSD BE'!$AA$15*'TUSD BE'!$AA$58</f>
        <v>0</v>
      </c>
      <c r="AB15" s="13">
        <f>SUM($U$15:$AA$15)</f>
        <v>0</v>
      </c>
      <c r="AC15" s="13">
        <f>'TUSD BE'!$AC$15*'TUSD BE'!$AC$58</f>
        <v>-3.1459915200373523</v>
      </c>
      <c r="AD15" s="13">
        <f>SUM($AC$15:$AC$15)</f>
        <v>-3.1459915200373523</v>
      </c>
      <c r="AE15" s="13">
        <f ca="1">$AO$15*$AO$55</f>
        <v>0</v>
      </c>
      <c r="AF15" s="13">
        <f ca="1">$AP$15*$AP$55</f>
        <v>0</v>
      </c>
      <c r="AG15" s="13">
        <f ca="1">SUM($AE$15:$AF$15)</f>
        <v>0</v>
      </c>
      <c r="AH15" s="13">
        <f>'TUSD BE'!$AH$15*'TUSD BE'!$AH$58</f>
        <v>0</v>
      </c>
      <c r="AI15" s="13">
        <f>'TUSD BE'!$AI$15*'TUSD BE'!$AI$58</f>
        <v>0</v>
      </c>
      <c r="AJ15" s="13">
        <f ca="1">'TUSD BE'!$AJ$15*'TUSD BE'!$AJ$58</f>
        <v>0</v>
      </c>
      <c r="AK15" s="13">
        <f ca="1">'TUSD BE'!$AK$15*'TUSD BE'!$AK$58</f>
        <v>0</v>
      </c>
      <c r="AL15" s="13">
        <f ca="1">SUM($AH$15:$AK$15)</f>
        <v>0</v>
      </c>
      <c r="AM15" s="13">
        <f ca="1">SUMIF($L$4:$AL$4,"SUBTOTAL",$L$15:$AL$15)</f>
        <v>-3.1468554122368819</v>
      </c>
      <c r="AO15" s="20">
        <f ca="1">+'TUSD BE'!$T$15+'TUSD BE'!$AB$15+'TUSD BE'!$AD$15+'TUSD BE'!$AL$15</f>
        <v>6.0958336517825282</v>
      </c>
      <c r="AP15" s="20">
        <f ca="1">+'TUSD BE'!$T$15+'TUSD BE'!$AB$15+'TUSD BE'!$AD$15+'TUSD BE'!$AL$15</f>
        <v>6.0958336517825282</v>
      </c>
    </row>
    <row r="16" spans="1:42" ht="11.25" customHeight="1" x14ac:dyDescent="0.3">
      <c r="A16" s="91"/>
      <c r="B16" s="91"/>
      <c r="C16" s="91"/>
      <c r="D16" s="91"/>
      <c r="E16" s="17" t="s">
        <v>79</v>
      </c>
      <c r="F16" s="17" t="s">
        <v>25</v>
      </c>
      <c r="G16" s="18" t="s">
        <v>9</v>
      </c>
      <c r="H16" s="18" t="s">
        <v>71</v>
      </c>
      <c r="I16" s="18">
        <f>'MERCADO TUSD'!$U$13+0.00000001</f>
        <v>1E-8</v>
      </c>
      <c r="J16" s="15"/>
      <c r="L16" s="13">
        <f>'TUSD BE'!$L$16*'TUSD BE'!$L$58</f>
        <v>0</v>
      </c>
      <c r="M16" s="13">
        <f>'TUSD BE'!$M$16*'TUSD BE'!$M$58</f>
        <v>-8.6389219952952485E-4</v>
      </c>
      <c r="N16" s="13">
        <f ca="1">'TUSD BE'!$N$16*'TUSD BE'!$N$58</f>
        <v>0</v>
      </c>
      <c r="O16" s="13">
        <f>'TUSD BE'!$O$16*'TUSD BE'!$O$58</f>
        <v>0</v>
      </c>
      <c r="P16" s="13">
        <f>'TUSD BE'!$P$16*'TUSD BE'!$P$58</f>
        <v>0</v>
      </c>
      <c r="Q16" s="13">
        <f>'TUSD BE'!$Q$16*'TUSD BE'!$Q$58</f>
        <v>0</v>
      </c>
      <c r="R16" s="13">
        <f>'TUSD BE'!$R$16*'TUSD BE'!$R$58</f>
        <v>0</v>
      </c>
      <c r="S16" s="13">
        <f>'TUSD BE'!$R$16*'TUSD BE'!$S$58</f>
        <v>0</v>
      </c>
      <c r="T16" s="13">
        <f ca="1">SUM($L$16:$S$16)</f>
        <v>-8.6389219952952485E-4</v>
      </c>
      <c r="U16" s="13">
        <f>'TUSD BE'!$U$16*'TUSD BE'!$U$58</f>
        <v>0</v>
      </c>
      <c r="V16" s="13">
        <f>'TUSD BE'!$V$16*'TUSD BE'!$V$58</f>
        <v>0</v>
      </c>
      <c r="W16" s="13">
        <f>'TUSD BE'!$W$16*'TUSD BE'!$W$58</f>
        <v>0</v>
      </c>
      <c r="X16" s="13">
        <f>'TUSD BE'!$X$16*'TUSD BE'!$X$58</f>
        <v>0</v>
      </c>
      <c r="Y16" s="13">
        <f>'TUSD BE'!$Y$16*'TUSD BE'!$Y$58</f>
        <v>0</v>
      </c>
      <c r="Z16" s="13">
        <f>'TUSD BE'!$Z$16*'TUSD BE'!$Z$58</f>
        <v>0</v>
      </c>
      <c r="AA16" s="13">
        <f>'TUSD BE'!$AA$16*'TUSD BE'!$AA$58</f>
        <v>0</v>
      </c>
      <c r="AB16" s="13">
        <f>SUM($U$16:$AA$16)</f>
        <v>0</v>
      </c>
      <c r="AC16" s="13">
        <f>'TUSD BE'!$AC$16*'TUSD BE'!$AC$58</f>
        <v>-6.4006471494114976</v>
      </c>
      <c r="AD16" s="13">
        <f>SUM($AC$16:$AC$16)</f>
        <v>-6.4006471494114976</v>
      </c>
      <c r="AE16" s="13">
        <f ca="1">$AO$16*$AO$55</f>
        <v>0</v>
      </c>
      <c r="AF16" s="13">
        <f ca="1">$AP$16*$AP$55</f>
        <v>0</v>
      </c>
      <c r="AG16" s="13">
        <f ca="1">SUM($AE$16:$AF$16)</f>
        <v>0</v>
      </c>
      <c r="AH16" s="13">
        <f>'TUSD BE'!$AH$16*'TUSD BE'!$AH$58</f>
        <v>0</v>
      </c>
      <c r="AI16" s="13">
        <f>'TUSD BE'!$AI$16*'TUSD BE'!$AI$58</f>
        <v>0</v>
      </c>
      <c r="AJ16" s="13">
        <f ca="1">'TUSD BE'!$AJ$16*'TUSD BE'!$AJ$58</f>
        <v>0</v>
      </c>
      <c r="AK16" s="13">
        <f ca="1">'TUSD BE'!$AK$16*'TUSD BE'!$AK$58</f>
        <v>0</v>
      </c>
      <c r="AL16" s="13">
        <f ca="1">SUM($AH$16:$AK$16)</f>
        <v>0</v>
      </c>
      <c r="AM16" s="13">
        <f ca="1">SUMIF($L$4:$AL$4,"SUBTOTAL",$L$16:$AL$16)</f>
        <v>-6.4015110416110268</v>
      </c>
      <c r="AO16" s="20">
        <f ca="1">+'TUSD BE'!$T$16+'TUSD BE'!$AB$16+'TUSD BE'!$AD$16+'TUSD BE'!$AL$16</f>
        <v>12.391275735325156</v>
      </c>
      <c r="AP16" s="20">
        <f ca="1">+'TUSD BE'!$T$16+'TUSD BE'!$AB$16+'TUSD BE'!$AD$16+'TUSD BE'!$AL$16</f>
        <v>12.391275735325156</v>
      </c>
    </row>
    <row r="17" spans="1:42" ht="11.25" customHeight="1" x14ac:dyDescent="0.3">
      <c r="A17" s="91" t="s">
        <v>22</v>
      </c>
      <c r="B17" s="91" t="s">
        <v>82</v>
      </c>
      <c r="C17" s="91" t="s">
        <v>24</v>
      </c>
      <c r="D17" s="91" t="s">
        <v>24</v>
      </c>
      <c r="E17" s="91" t="s">
        <v>25</v>
      </c>
      <c r="F17" s="91" t="s">
        <v>25</v>
      </c>
      <c r="G17" s="18" t="s">
        <v>69</v>
      </c>
      <c r="H17" s="18" t="s">
        <v>68</v>
      </c>
      <c r="I17" s="18">
        <f>'MERCADO TUSD'!$U$14</f>
        <v>0</v>
      </c>
      <c r="J17" s="15"/>
      <c r="L17" s="13">
        <f>'TUSD BE'!$L$17*'TUSD BE'!$L$58</f>
        <v>0</v>
      </c>
      <c r="M17" s="13">
        <f>'TUSD BE'!$M$17*'TUSD BE'!$M$58</f>
        <v>-7.0555556849739687E-2</v>
      </c>
      <c r="N17" s="13">
        <f ca="1">'TUSD BE'!$N$17*'TUSD BE'!$N$58</f>
        <v>0</v>
      </c>
      <c r="O17" s="13">
        <f>'TUSD BE'!$O$17*'TUSD BE'!$O$58</f>
        <v>0</v>
      </c>
      <c r="P17" s="13">
        <f>'TUSD BE'!$P$17*'TUSD BE'!$P$58</f>
        <v>0</v>
      </c>
      <c r="Q17" s="13">
        <f>'TUSD BE'!$Q$17*'TUSD BE'!$Q$58</f>
        <v>-5.933236991611734</v>
      </c>
      <c r="R17" s="13">
        <f>'TUSD BE'!$R$17*'TUSD BE'!$R$58</f>
        <v>-0.96861079194913424</v>
      </c>
      <c r="S17" s="13">
        <f>'TUSD BE'!$R$17*'TUSD BE'!$S$58</f>
        <v>0</v>
      </c>
      <c r="T17" s="13">
        <f ca="1">SUM($L$17:$S$17)</f>
        <v>-6.9724033404106081</v>
      </c>
      <c r="U17" s="13">
        <f>'TUSD BE'!$U$17*'TUSD BE'!$U$58</f>
        <v>0</v>
      </c>
      <c r="V17" s="13">
        <f>'TUSD BE'!$V$17*'TUSD BE'!$V$58</f>
        <v>0</v>
      </c>
      <c r="W17" s="13">
        <f>'TUSD BE'!$W$17*'TUSD BE'!$W$58</f>
        <v>0</v>
      </c>
      <c r="X17" s="13">
        <f>'TUSD BE'!$X$17*'TUSD BE'!$X$58</f>
        <v>0</v>
      </c>
      <c r="Y17" s="13">
        <f>'TUSD BE'!$Y$17*'TUSD BE'!$Y$58</f>
        <v>4.4528090391650332</v>
      </c>
      <c r="Z17" s="13">
        <f>'TUSD BE'!$Z$17*'TUSD BE'!$Z$58</f>
        <v>0</v>
      </c>
      <c r="AA17" s="13">
        <f>'TUSD BE'!$AA$17*'TUSD BE'!$AA$58</f>
        <v>0</v>
      </c>
      <c r="AB17" s="13">
        <f>SUM($U$17:$AA$17)</f>
        <v>4.4528090391650332</v>
      </c>
      <c r="AC17" s="13">
        <f>'TUSD BE'!$AC$17*'TUSD BE'!$AC$58</f>
        <v>-271.1038589206259</v>
      </c>
      <c r="AD17" s="13">
        <f>SUM($AC$17:$AC$17)</f>
        <v>-271.1038589206259</v>
      </c>
      <c r="AE17" s="13">
        <f ca="1">$AO$17*$AO$55</f>
        <v>0</v>
      </c>
      <c r="AF17" s="13">
        <f ca="1">$AP$17*$AP$55</f>
        <v>0</v>
      </c>
      <c r="AG17" s="13">
        <f ca="1">SUM($AE$17:$AF$17)</f>
        <v>0</v>
      </c>
      <c r="AH17" s="13">
        <f>'TUSD BE'!$AH$17*'TUSD BE'!$AH$58</f>
        <v>1.2133654437265899</v>
      </c>
      <c r="AI17" s="13">
        <f>'TUSD BE'!$AI$17*'TUSD BE'!$AI$58</f>
        <v>0</v>
      </c>
      <c r="AJ17" s="13">
        <f ca="1">'TUSD BE'!$AJ$17*'TUSD BE'!$AJ$58</f>
        <v>0</v>
      </c>
      <c r="AK17" s="13">
        <f ca="1">'TUSD BE'!$AK$17*'TUSD BE'!$AK$58</f>
        <v>0</v>
      </c>
      <c r="AL17" s="13">
        <f ca="1">SUM($AH$17:$AK$17)</f>
        <v>1.2133654437265899</v>
      </c>
      <c r="AM17" s="13">
        <f ca="1">SUMIF($L$4:$AL$4,"SUBTOTAL",$L$17:$AL$17)</f>
        <v>-272.41008777814483</v>
      </c>
      <c r="AO17" s="20">
        <f ca="1">+'TUSD BE'!$T$17+'TUSD BE'!$AB$17+'TUSD BE'!$AD$17+'TUSD BE'!$AL$17</f>
        <v>915.65346007989854</v>
      </c>
      <c r="AP17" s="20">
        <f ca="1">+'TUSD BE'!$T$17+'TUSD BE'!$AB$17+'TUSD BE'!$AD$17+'TUSD BE'!$AL$17</f>
        <v>915.65346007989854</v>
      </c>
    </row>
    <row r="18" spans="1:42" ht="11.25" customHeight="1" x14ac:dyDescent="0.3">
      <c r="A18" s="91"/>
      <c r="B18" s="91"/>
      <c r="C18" s="91"/>
      <c r="D18" s="91"/>
      <c r="E18" s="91"/>
      <c r="F18" s="91"/>
      <c r="G18" s="18" t="s">
        <v>80</v>
      </c>
      <c r="H18" s="18" t="s">
        <v>68</v>
      </c>
      <c r="I18" s="18">
        <f>'MERCADO TUSD'!$U$15</f>
        <v>0</v>
      </c>
      <c r="J18" s="15"/>
      <c r="L18" s="13">
        <f>'TUSD BE'!$L$18*'TUSD BE'!$L$58</f>
        <v>0</v>
      </c>
      <c r="M18" s="13">
        <f>'TUSD BE'!$M$18*'TUSD BE'!$M$58</f>
        <v>-7.0555556849739687E-2</v>
      </c>
      <c r="N18" s="13">
        <f ca="1">'TUSD BE'!$N$18*'TUSD BE'!$N$58</f>
        <v>0</v>
      </c>
      <c r="O18" s="13">
        <f>'TUSD BE'!$O$18*'TUSD BE'!$O$58</f>
        <v>0</v>
      </c>
      <c r="P18" s="13">
        <f>'TUSD BE'!$P$18*'TUSD BE'!$P$58</f>
        <v>0</v>
      </c>
      <c r="Q18" s="13">
        <f>'TUSD BE'!$Q$18*'TUSD BE'!$Q$58</f>
        <v>-5.933236991611734</v>
      </c>
      <c r="R18" s="13">
        <f>'TUSD BE'!$R$18*'TUSD BE'!$R$58</f>
        <v>-0.96861079194913424</v>
      </c>
      <c r="S18" s="13">
        <f>'TUSD BE'!$R$18*'TUSD BE'!$S$58</f>
        <v>0</v>
      </c>
      <c r="T18" s="13">
        <f ca="1">SUM($L$18:$S$18)</f>
        <v>-6.9724033404106081</v>
      </c>
      <c r="U18" s="13">
        <f>'TUSD BE'!$U$18*'TUSD BE'!$U$58</f>
        <v>0</v>
      </c>
      <c r="V18" s="13">
        <f>'TUSD BE'!$V$18*'TUSD BE'!$V$58</f>
        <v>0</v>
      </c>
      <c r="W18" s="13">
        <f>'TUSD BE'!$W$18*'TUSD BE'!$W$58</f>
        <v>0</v>
      </c>
      <c r="X18" s="13">
        <f>'TUSD BE'!$X$18*'TUSD BE'!$X$58</f>
        <v>0</v>
      </c>
      <c r="Y18" s="13">
        <f>'TUSD BE'!$Y$18*'TUSD BE'!$Y$58</f>
        <v>2.6716857551845838</v>
      </c>
      <c r="Z18" s="13">
        <f>'TUSD BE'!$Z$18*'TUSD BE'!$Z$58</f>
        <v>0</v>
      </c>
      <c r="AA18" s="13">
        <f>'TUSD BE'!$AA$18*'TUSD BE'!$AA$58</f>
        <v>0</v>
      </c>
      <c r="AB18" s="13">
        <f>SUM($U$18:$AA$18)</f>
        <v>2.6716857551845838</v>
      </c>
      <c r="AC18" s="13">
        <f>'TUSD BE'!$AC$18*'TUSD BE'!$AC$58</f>
        <v>-162.66239562133902</v>
      </c>
      <c r="AD18" s="13">
        <f>SUM($AC$18:$AC$18)</f>
        <v>-162.66239562133902</v>
      </c>
      <c r="AE18" s="13">
        <f ca="1">$AO$18*$AO$55</f>
        <v>0</v>
      </c>
      <c r="AF18" s="13">
        <f ca="1">$AP$18*$AP$55</f>
        <v>0</v>
      </c>
      <c r="AG18" s="13">
        <f ca="1">SUM($AE$18:$AF$18)</f>
        <v>0</v>
      </c>
      <c r="AH18" s="13">
        <f>'TUSD BE'!$AH$18*'TUSD BE'!$AH$58</f>
        <v>1.2133654437265899</v>
      </c>
      <c r="AI18" s="13">
        <f>'TUSD BE'!$AI$18*'TUSD BE'!$AI$58</f>
        <v>0</v>
      </c>
      <c r="AJ18" s="13">
        <f ca="1">'TUSD BE'!$AJ$18*'TUSD BE'!$AJ$58</f>
        <v>0</v>
      </c>
      <c r="AK18" s="13">
        <f ca="1">'TUSD BE'!$AK$18*'TUSD BE'!$AK$58</f>
        <v>0</v>
      </c>
      <c r="AL18" s="13">
        <f ca="1">SUM($AH$18:$AK$18)</f>
        <v>1.2133654437265899</v>
      </c>
      <c r="AM18" s="13">
        <f ca="1">SUMIF($L$4:$AL$4,"SUBTOTAL",$L$18:$AL$18)</f>
        <v>-165.74974776283844</v>
      </c>
      <c r="AO18" s="20">
        <f ca="1">+'TUSD BE'!$T$18+'TUSD BE'!$AB$18+'TUSD BE'!$AD$18+'TUSD BE'!$AL$18</f>
        <v>598.18413645019598</v>
      </c>
      <c r="AP18" s="20">
        <f ca="1">+'TUSD BE'!$T$18+'TUSD BE'!$AB$18+'TUSD BE'!$AD$18+'TUSD BE'!$AL$18</f>
        <v>598.18413645019598</v>
      </c>
    </row>
    <row r="19" spans="1:42" ht="11.25" customHeight="1" x14ac:dyDescent="0.3">
      <c r="A19" s="91"/>
      <c r="B19" s="91"/>
      <c r="C19" s="91"/>
      <c r="D19" s="91"/>
      <c r="E19" s="91"/>
      <c r="F19" s="91"/>
      <c r="G19" s="18" t="s">
        <v>70</v>
      </c>
      <c r="H19" s="18" t="s">
        <v>68</v>
      </c>
      <c r="I19" s="18">
        <f>'MERCADO TUSD'!$U$16</f>
        <v>0</v>
      </c>
      <c r="J19" s="15"/>
      <c r="L19" s="13">
        <f>'TUSD BE'!$L$19*'TUSD BE'!$L$58</f>
        <v>0</v>
      </c>
      <c r="M19" s="13">
        <f>'TUSD BE'!$M$19*'TUSD BE'!$M$58</f>
        <v>-7.0555556849739687E-2</v>
      </c>
      <c r="N19" s="13">
        <f ca="1">'TUSD BE'!$N$19*'TUSD BE'!$N$58</f>
        <v>0</v>
      </c>
      <c r="O19" s="13">
        <f>'TUSD BE'!$O$19*'TUSD BE'!$O$58</f>
        <v>0</v>
      </c>
      <c r="P19" s="13">
        <f>'TUSD BE'!$P$19*'TUSD BE'!$P$58</f>
        <v>0</v>
      </c>
      <c r="Q19" s="13">
        <f>'TUSD BE'!$Q$19*'TUSD BE'!$Q$58</f>
        <v>-5.933236991611734</v>
      </c>
      <c r="R19" s="13">
        <f>'TUSD BE'!$R$19*'TUSD BE'!$R$58</f>
        <v>-0.96861079194913424</v>
      </c>
      <c r="S19" s="13">
        <f>'TUSD BE'!$R$19*'TUSD BE'!$S$58</f>
        <v>0</v>
      </c>
      <c r="T19" s="13">
        <f ca="1">SUM($L$19:$S$19)</f>
        <v>-6.9724033404106081</v>
      </c>
      <c r="U19" s="13">
        <f>'TUSD BE'!$U$19*'TUSD BE'!$U$58</f>
        <v>0</v>
      </c>
      <c r="V19" s="13">
        <f>'TUSD BE'!$V$19*'TUSD BE'!$V$58</f>
        <v>0</v>
      </c>
      <c r="W19" s="13">
        <f>'TUSD BE'!$W$19*'TUSD BE'!$W$58</f>
        <v>0</v>
      </c>
      <c r="X19" s="13">
        <f>'TUSD BE'!$X$19*'TUSD BE'!$X$58</f>
        <v>0</v>
      </c>
      <c r="Y19" s="13">
        <f>'TUSD BE'!$Y$19*'TUSD BE'!$Y$58</f>
        <v>0.89137510083528326</v>
      </c>
      <c r="Z19" s="13">
        <f>'TUSD BE'!$Z$19*'TUSD BE'!$Z$58</f>
        <v>0</v>
      </c>
      <c r="AA19" s="13">
        <f>'TUSD BE'!$AA$19*'TUSD BE'!$AA$58</f>
        <v>0</v>
      </c>
      <c r="AB19" s="13">
        <f>SUM($U$19:$AA$19)</f>
        <v>0.89137510083528326</v>
      </c>
      <c r="AC19" s="13">
        <f>'TUSD BE'!$AC$19*'TUSD BE'!$AC$58</f>
        <v>-54.220731649643426</v>
      </c>
      <c r="AD19" s="13">
        <f>SUM($AC$19:$AC$19)</f>
        <v>-54.220731649643426</v>
      </c>
      <c r="AE19" s="13">
        <f ca="1">$AO$19*$AO$55</f>
        <v>0</v>
      </c>
      <c r="AF19" s="13">
        <f ca="1">$AP$19*$AP$55</f>
        <v>0</v>
      </c>
      <c r="AG19" s="13">
        <f ca="1">SUM($AE$19:$AF$19)</f>
        <v>0</v>
      </c>
      <c r="AH19" s="13">
        <f>'TUSD BE'!$AH$19*'TUSD BE'!$AH$58</f>
        <v>1.2133654437265899</v>
      </c>
      <c r="AI19" s="13">
        <f>'TUSD BE'!$AI$19*'TUSD BE'!$AI$58</f>
        <v>0</v>
      </c>
      <c r="AJ19" s="13">
        <f ca="1">'TUSD BE'!$AJ$19*'TUSD BE'!$AJ$58</f>
        <v>0</v>
      </c>
      <c r="AK19" s="13">
        <f ca="1">'TUSD BE'!$AK$19*'TUSD BE'!$AK$58</f>
        <v>0</v>
      </c>
      <c r="AL19" s="13">
        <f ca="1">SUM($AH$19:$AK$19)</f>
        <v>1.2133654437265899</v>
      </c>
      <c r="AM19" s="13">
        <f ca="1">SUMIF($L$4:$AL$4,"SUBTOTAL",$L$19:$AL$19)</f>
        <v>-59.088394445492163</v>
      </c>
      <c r="AO19" s="20">
        <f ca="1">+'TUSD BE'!$T$19+'TUSD BE'!$AB$19+'TUSD BE'!$AD$19+'TUSD BE'!$AL$19</f>
        <v>280.76356791296848</v>
      </c>
      <c r="AP19" s="20">
        <f ca="1">+'TUSD BE'!$T$19+'TUSD BE'!$AB$19+'TUSD BE'!$AD$19+'TUSD BE'!$AL$19</f>
        <v>280.76356791296848</v>
      </c>
    </row>
    <row r="20" spans="1:42" ht="11.25" customHeight="1" x14ac:dyDescent="0.3">
      <c r="A20" s="91"/>
      <c r="B20" s="91" t="s">
        <v>23</v>
      </c>
      <c r="C20" s="91" t="s">
        <v>24</v>
      </c>
      <c r="D20" s="17" t="s">
        <v>24</v>
      </c>
      <c r="E20" s="17" t="s">
        <v>25</v>
      </c>
      <c r="F20" s="17" t="s">
        <v>25</v>
      </c>
      <c r="G20" s="18" t="s">
        <v>74</v>
      </c>
      <c r="H20" s="18" t="s">
        <v>68</v>
      </c>
      <c r="I20" s="18">
        <f>'MERCADO TUSD'!$U$17</f>
        <v>434.28799999999995</v>
      </c>
      <c r="J20" s="15"/>
      <c r="L20" s="13">
        <f>'TUSD BE'!$L$20*'TUSD BE'!$L$58</f>
        <v>0</v>
      </c>
      <c r="M20" s="13">
        <f>'TUSD BE'!$M$20*'TUSD BE'!$M$58</f>
        <v>-7.0555556849739687E-2</v>
      </c>
      <c r="N20" s="13">
        <f ca="1">'TUSD BE'!$N$20*'TUSD BE'!$N$58</f>
        <v>0</v>
      </c>
      <c r="O20" s="13">
        <f>'TUSD BE'!$O$20*'TUSD BE'!$O$58</f>
        <v>0</v>
      </c>
      <c r="P20" s="13">
        <f>'TUSD BE'!$P$20*'TUSD BE'!$P$58</f>
        <v>0</v>
      </c>
      <c r="Q20" s="13">
        <f>'TUSD BE'!$Q$20*'TUSD BE'!$Q$58</f>
        <v>-5.933236991611734</v>
      </c>
      <c r="R20" s="13">
        <f>'TUSD BE'!$R$20*'TUSD BE'!$R$58</f>
        <v>-0.96861079194913424</v>
      </c>
      <c r="S20" s="13">
        <f>'TUSD BE'!$R$20*'TUSD BE'!$S$58</f>
        <v>0</v>
      </c>
      <c r="T20" s="13">
        <f ca="1">SUM($L$20:$S$20)</f>
        <v>-6.9724033404106081</v>
      </c>
      <c r="U20" s="13">
        <f>'TUSD BE'!$U$20*'TUSD BE'!$U$58</f>
        <v>0</v>
      </c>
      <c r="V20" s="13">
        <f>'TUSD BE'!$V$20*'TUSD BE'!$V$58</f>
        <v>0</v>
      </c>
      <c r="W20" s="13">
        <f>'TUSD BE'!$W$20*'TUSD BE'!$W$58</f>
        <v>0</v>
      </c>
      <c r="X20" s="13">
        <f>'TUSD BE'!$X$20*'TUSD BE'!$X$58</f>
        <v>0</v>
      </c>
      <c r="Y20" s="13">
        <f>'TUSD BE'!$Y$20*'TUSD BE'!$Y$58</f>
        <v>1.6484357910641672</v>
      </c>
      <c r="Z20" s="13">
        <f>'TUSD BE'!$Z$20*'TUSD BE'!$Z$58</f>
        <v>0</v>
      </c>
      <c r="AA20" s="13">
        <f>'TUSD BE'!$AA$20*'TUSD BE'!$AA$58</f>
        <v>0</v>
      </c>
      <c r="AB20" s="13">
        <f>SUM($U$20:$AA$20)</f>
        <v>1.6484357910641672</v>
      </c>
      <c r="AC20" s="13">
        <f>'TUSD BE'!$AC$20*'TUSD BE'!$AC$58</f>
        <v>-100.408847785736</v>
      </c>
      <c r="AD20" s="13">
        <f>SUM($AC$20:$AC$20)</f>
        <v>-100.408847785736</v>
      </c>
      <c r="AE20" s="13">
        <f ca="1">$AO$20*$AO$55</f>
        <v>0</v>
      </c>
      <c r="AF20" s="13">
        <f ca="1">$AP$20*$AP$55</f>
        <v>0</v>
      </c>
      <c r="AG20" s="13">
        <f ca="1">SUM($AE$20:$AF$20)</f>
        <v>0</v>
      </c>
      <c r="AH20" s="13">
        <f>'TUSD BE'!$AH$20*'TUSD BE'!$AH$58</f>
        <v>1.2133654437265899</v>
      </c>
      <c r="AI20" s="13">
        <f>'TUSD BE'!$AI$20*'TUSD BE'!$AI$58</f>
        <v>0</v>
      </c>
      <c r="AJ20" s="13">
        <f ca="1">'TUSD BE'!$AJ$20*'TUSD BE'!$AJ$58</f>
        <v>0</v>
      </c>
      <c r="AK20" s="13">
        <f ca="1">'TUSD BE'!$AK$20*'TUSD BE'!$AK$58</f>
        <v>0</v>
      </c>
      <c r="AL20" s="13">
        <f ca="1">SUM($AH$20:$AK$20)</f>
        <v>1.2133654437265899</v>
      </c>
      <c r="AM20" s="13">
        <f ca="1">SUMIF($L$4:$AL$4,"SUBTOTAL",$L$20:$AL$20)</f>
        <v>-104.51944989135585</v>
      </c>
      <c r="AO20" s="20">
        <f ca="1">+'TUSD BE'!$T$20+'TUSD BE'!$AB$20+'TUSD BE'!$AD$20+'TUSD BE'!$AL$20</f>
        <v>415.88745245281598</v>
      </c>
      <c r="AP20" s="20">
        <f ca="1">+'TUSD BE'!$T$20+'TUSD BE'!$AB$20+'TUSD BE'!$AD$20+'TUSD BE'!$AL$20</f>
        <v>415.88745245281598</v>
      </c>
    </row>
    <row r="21" spans="1:42" ht="11.25" customHeight="1" x14ac:dyDescent="0.3">
      <c r="A21" s="91"/>
      <c r="B21" s="91"/>
      <c r="C21" s="91"/>
      <c r="D21" s="17" t="s">
        <v>27</v>
      </c>
      <c r="E21" s="17" t="s">
        <v>25</v>
      </c>
      <c r="F21" s="17" t="s">
        <v>25</v>
      </c>
      <c r="G21" s="18" t="s">
        <v>74</v>
      </c>
      <c r="H21" s="18" t="s">
        <v>68</v>
      </c>
      <c r="I21" s="18">
        <f>'MERCADO TUSD'!$U$18</f>
        <v>2.37</v>
      </c>
      <c r="J21" s="15"/>
      <c r="L21" s="13">
        <f>'TUSD BE'!$L$21*'TUSD BE'!$L$58</f>
        <v>0</v>
      </c>
      <c r="M21" s="13">
        <f>'TUSD BE'!$M$21*'TUSD BE'!$M$58</f>
        <v>-7.0555556849739687E-2</v>
      </c>
      <c r="N21" s="13">
        <f ca="1">'TUSD BE'!$N$21*'TUSD BE'!$N$58</f>
        <v>0</v>
      </c>
      <c r="O21" s="13">
        <f>'TUSD BE'!$O$21*'TUSD BE'!$O$58</f>
        <v>0</v>
      </c>
      <c r="P21" s="13">
        <f>'TUSD BE'!$P$21*'TUSD BE'!$P$58</f>
        <v>0</v>
      </c>
      <c r="Q21" s="13">
        <f>'TUSD BE'!$Q$21*'TUSD BE'!$Q$58</f>
        <v>0</v>
      </c>
      <c r="R21" s="13">
        <f>'TUSD BE'!$R$21*'TUSD BE'!$R$58</f>
        <v>0</v>
      </c>
      <c r="S21" s="13">
        <f>'TUSD BE'!$R$21*'TUSD BE'!$S$58</f>
        <v>0</v>
      </c>
      <c r="T21" s="13">
        <f ca="1">SUM($L$21:$S$21)</f>
        <v>-7.0555556849739687E-2</v>
      </c>
      <c r="U21" s="13">
        <f>'TUSD BE'!$U$21*'TUSD BE'!$U$58</f>
        <v>0</v>
      </c>
      <c r="V21" s="13">
        <f>'TUSD BE'!$V$21*'TUSD BE'!$V$58</f>
        <v>0</v>
      </c>
      <c r="W21" s="13">
        <f>'TUSD BE'!$W$21*'TUSD BE'!$W$58</f>
        <v>0</v>
      </c>
      <c r="X21" s="13">
        <f>'TUSD BE'!$X$21*'TUSD BE'!$X$58</f>
        <v>0</v>
      </c>
      <c r="Y21" s="13">
        <f>'TUSD BE'!$Y$21*'TUSD BE'!$Y$58</f>
        <v>1.6484357910641672</v>
      </c>
      <c r="Z21" s="13">
        <f>'TUSD BE'!$Z$21*'TUSD BE'!$Z$58</f>
        <v>0</v>
      </c>
      <c r="AA21" s="13">
        <f>'TUSD BE'!$AA$21*'TUSD BE'!$AA$58</f>
        <v>0</v>
      </c>
      <c r="AB21" s="13">
        <f>SUM($U$21:$AA$21)</f>
        <v>1.6484357910641672</v>
      </c>
      <c r="AC21" s="13">
        <f>'TUSD BE'!$AC$21*'TUSD BE'!$AC$58</f>
        <v>-100.408847785736</v>
      </c>
      <c r="AD21" s="13">
        <f>SUM($AC$21:$AC$21)</f>
        <v>-100.408847785736</v>
      </c>
      <c r="AE21" s="13">
        <f ca="1">$AO$21*$AO$55</f>
        <v>0</v>
      </c>
      <c r="AF21" s="13">
        <f ca="1">$AP$21*$AP$55</f>
        <v>0</v>
      </c>
      <c r="AG21" s="13">
        <f ca="1">SUM($AE$21:$AF$21)</f>
        <v>0</v>
      </c>
      <c r="AH21" s="13">
        <f>'TUSD BE'!$AH$21*'TUSD BE'!$AH$58</f>
        <v>1.2133654437265899</v>
      </c>
      <c r="AI21" s="13">
        <f>'TUSD BE'!$AI$21*'TUSD BE'!$AI$58</f>
        <v>0</v>
      </c>
      <c r="AJ21" s="13">
        <f ca="1">'TUSD BE'!$AJ$21*'TUSD BE'!$AJ$58</f>
        <v>0</v>
      </c>
      <c r="AK21" s="13">
        <f ca="1">'TUSD BE'!$AK$21*'TUSD BE'!$AK$58</f>
        <v>0</v>
      </c>
      <c r="AL21" s="13">
        <f ca="1">SUM($AH$21:$AK$21)</f>
        <v>1.2133654437265899</v>
      </c>
      <c r="AM21" s="13">
        <f ca="1">SUMIF($L$4:$AL$4,"SUBTOTAL",$L$21:$AL$21)</f>
        <v>-97.61760210779498</v>
      </c>
      <c r="AO21" s="20">
        <f ca="1">+'TUSD BE'!$T$21+'TUSD BE'!$AB$21+'TUSD BE'!$AD$21+'TUSD BE'!$AL$21</f>
        <v>311.6903180613034</v>
      </c>
      <c r="AP21" s="20">
        <f ca="1">+'TUSD BE'!$T$21+'TUSD BE'!$AB$21+'TUSD BE'!$AD$21+'TUSD BE'!$AL$21</f>
        <v>311.6903180613034</v>
      </c>
    </row>
    <row r="22" spans="1:42" ht="11.25" customHeight="1" x14ac:dyDescent="0.3">
      <c r="A22" s="91"/>
      <c r="B22" s="91"/>
      <c r="C22" s="91"/>
      <c r="D22" s="17" t="s">
        <v>28</v>
      </c>
      <c r="E22" s="17" t="s">
        <v>25</v>
      </c>
      <c r="F22" s="17" t="s">
        <v>25</v>
      </c>
      <c r="G22" s="18" t="s">
        <v>74</v>
      </c>
      <c r="H22" s="18" t="s">
        <v>68</v>
      </c>
      <c r="I22" s="18">
        <f>'MERCADO TUSD'!$U$19</f>
        <v>4.327</v>
      </c>
      <c r="J22" s="15"/>
      <c r="L22" s="13">
        <f>'TUSD BE'!$L$22*'TUSD BE'!$L$58</f>
        <v>0</v>
      </c>
      <c r="M22" s="13">
        <f>'TUSD BE'!$M$22*'TUSD BE'!$M$58</f>
        <v>-7.0555556849739687E-2</v>
      </c>
      <c r="N22" s="13">
        <f ca="1">'TUSD BE'!$N$22*'TUSD BE'!$N$58</f>
        <v>0</v>
      </c>
      <c r="O22" s="13">
        <f>'TUSD BE'!$O$22*'TUSD BE'!$O$58</f>
        <v>0</v>
      </c>
      <c r="P22" s="13">
        <f>'TUSD BE'!$P$22*'TUSD BE'!$P$58</f>
        <v>0</v>
      </c>
      <c r="Q22" s="13">
        <f>'TUSD BE'!$Q$22*'TUSD BE'!$Q$58</f>
        <v>0</v>
      </c>
      <c r="R22" s="13">
        <f>'TUSD BE'!$R$22*'TUSD BE'!$R$58</f>
        <v>0</v>
      </c>
      <c r="S22" s="13">
        <f>'TUSD BE'!$R$22*'TUSD BE'!$S$58</f>
        <v>0</v>
      </c>
      <c r="T22" s="13">
        <f ca="1">SUM($L$22:$S$22)</f>
        <v>-7.0555556849739687E-2</v>
      </c>
      <c r="U22" s="13">
        <f>'TUSD BE'!$U$22*'TUSD BE'!$U$58</f>
        <v>0</v>
      </c>
      <c r="V22" s="13">
        <f>'TUSD BE'!$V$22*'TUSD BE'!$V$58</f>
        <v>0</v>
      </c>
      <c r="W22" s="13">
        <f>'TUSD BE'!$W$22*'TUSD BE'!$W$58</f>
        <v>0</v>
      </c>
      <c r="X22" s="13">
        <f>'TUSD BE'!$X$22*'TUSD BE'!$X$58</f>
        <v>0</v>
      </c>
      <c r="Y22" s="13">
        <f>'TUSD BE'!$Y$22*'TUSD BE'!$Y$58</f>
        <v>1.6484357910641672</v>
      </c>
      <c r="Z22" s="13">
        <f>'TUSD BE'!$Z$22*'TUSD BE'!$Z$58</f>
        <v>0</v>
      </c>
      <c r="AA22" s="13">
        <f>'TUSD BE'!$AA$22*'TUSD BE'!$AA$58</f>
        <v>0</v>
      </c>
      <c r="AB22" s="13">
        <f>SUM($U$22:$AA$22)</f>
        <v>1.6484357910641672</v>
      </c>
      <c r="AC22" s="13">
        <f>'TUSD BE'!$AC$22*'TUSD BE'!$AC$58</f>
        <v>-100.408847785736</v>
      </c>
      <c r="AD22" s="13">
        <f>SUM($AC$22:$AC$22)</f>
        <v>-100.408847785736</v>
      </c>
      <c r="AE22" s="13">
        <f ca="1">$AO$22*$AO$55</f>
        <v>0</v>
      </c>
      <c r="AF22" s="13">
        <f ca="1">$AP$22*$AP$55</f>
        <v>0</v>
      </c>
      <c r="AG22" s="13">
        <f ca="1">SUM($AE$22:$AF$22)</f>
        <v>0</v>
      </c>
      <c r="AH22" s="13">
        <f>'TUSD BE'!$AH$22*'TUSD BE'!$AH$58</f>
        <v>1.2133654437265899</v>
      </c>
      <c r="AI22" s="13">
        <f>'TUSD BE'!$AI$22*'TUSD BE'!$AI$58</f>
        <v>0</v>
      </c>
      <c r="AJ22" s="13">
        <f ca="1">'TUSD BE'!$AJ$22*'TUSD BE'!$AJ$58</f>
        <v>0</v>
      </c>
      <c r="AK22" s="13">
        <f ca="1">'TUSD BE'!$AK$22*'TUSD BE'!$AK$58</f>
        <v>0</v>
      </c>
      <c r="AL22" s="13">
        <f ca="1">SUM($AH$22:$AK$22)</f>
        <v>1.2133654437265899</v>
      </c>
      <c r="AM22" s="13">
        <f ca="1">SUMIF($L$4:$AL$4,"SUBTOTAL",$L$22:$AL$22)</f>
        <v>-97.61760210779498</v>
      </c>
      <c r="AO22" s="20">
        <f ca="1">+'TUSD BE'!$T$22+'TUSD BE'!$AB$22+'TUSD BE'!$AD$22+'TUSD BE'!$AL$22</f>
        <v>311.6903180613034</v>
      </c>
      <c r="AP22" s="20">
        <f ca="1">+'TUSD BE'!$T$22+'TUSD BE'!$AB$22+'TUSD BE'!$AD$22+'TUSD BE'!$AL$22</f>
        <v>311.6903180613034</v>
      </c>
    </row>
    <row r="23" spans="1:42" ht="11.25" customHeight="1" x14ac:dyDescent="0.3">
      <c r="A23" s="91"/>
      <c r="B23" s="91"/>
      <c r="C23" s="91"/>
      <c r="D23" s="17" t="s">
        <v>29</v>
      </c>
      <c r="E23" s="17" t="s">
        <v>25</v>
      </c>
      <c r="F23" s="17" t="s">
        <v>25</v>
      </c>
      <c r="G23" s="18" t="s">
        <v>74</v>
      </c>
      <c r="H23" s="18" t="s">
        <v>68</v>
      </c>
      <c r="I23" s="18">
        <f>'MERCADO TUSD'!$U$20</f>
        <v>5.7929999999999993</v>
      </c>
      <c r="J23" s="15"/>
      <c r="L23" s="13">
        <f>'TUSD BE'!$L$23*'TUSD BE'!$L$58</f>
        <v>0</v>
      </c>
      <c r="M23" s="13">
        <f>'TUSD BE'!$M$23*'TUSD BE'!$M$58</f>
        <v>-7.0555556849739687E-2</v>
      </c>
      <c r="N23" s="13">
        <f ca="1">'TUSD BE'!$N$23*'TUSD BE'!$N$58</f>
        <v>0</v>
      </c>
      <c r="O23" s="13">
        <f>'TUSD BE'!$O$23*'TUSD BE'!$O$58</f>
        <v>0</v>
      </c>
      <c r="P23" s="13">
        <f>'TUSD BE'!$P$23*'TUSD BE'!$P$58</f>
        <v>0</v>
      </c>
      <c r="Q23" s="13">
        <f>'TUSD BE'!$Q$23*'TUSD BE'!$Q$58</f>
        <v>0</v>
      </c>
      <c r="R23" s="13">
        <f>'TUSD BE'!$R$23*'TUSD BE'!$R$58</f>
        <v>0</v>
      </c>
      <c r="S23" s="13">
        <f>'TUSD BE'!$R$23*'TUSD BE'!$S$58</f>
        <v>0</v>
      </c>
      <c r="T23" s="13">
        <f ca="1">SUM($L$23:$S$23)</f>
        <v>-7.0555556849739687E-2</v>
      </c>
      <c r="U23" s="13">
        <f>'TUSD BE'!$U$23*'TUSD BE'!$U$58</f>
        <v>0</v>
      </c>
      <c r="V23" s="13">
        <f>'TUSD BE'!$V$23*'TUSD BE'!$V$58</f>
        <v>0</v>
      </c>
      <c r="W23" s="13">
        <f>'TUSD BE'!$W$23*'TUSD BE'!$W$58</f>
        <v>0</v>
      </c>
      <c r="X23" s="13">
        <f>'TUSD BE'!$X$23*'TUSD BE'!$X$58</f>
        <v>0</v>
      </c>
      <c r="Y23" s="13">
        <f>'TUSD BE'!$Y$23*'TUSD BE'!$Y$58</f>
        <v>1.6484357910641672</v>
      </c>
      <c r="Z23" s="13">
        <f>'TUSD BE'!$Z$23*'TUSD BE'!$Z$58</f>
        <v>0</v>
      </c>
      <c r="AA23" s="13">
        <f>'TUSD BE'!$AA$23*'TUSD BE'!$AA$58</f>
        <v>0</v>
      </c>
      <c r="AB23" s="13">
        <f>SUM($U$23:$AA$23)</f>
        <v>1.6484357910641672</v>
      </c>
      <c r="AC23" s="13">
        <f>'TUSD BE'!$AC$23*'TUSD BE'!$AC$58</f>
        <v>-100.408847785736</v>
      </c>
      <c r="AD23" s="13">
        <f>SUM($AC$23:$AC$23)</f>
        <v>-100.408847785736</v>
      </c>
      <c r="AE23" s="13">
        <f ca="1">$AO$23*$AO$55</f>
        <v>0</v>
      </c>
      <c r="AF23" s="13">
        <f ca="1">$AP$23*$AP$55</f>
        <v>0</v>
      </c>
      <c r="AG23" s="13">
        <f ca="1">SUM($AE$23:$AF$23)</f>
        <v>0</v>
      </c>
      <c r="AH23" s="13">
        <f>'TUSD BE'!$AH$23*'TUSD BE'!$AH$58</f>
        <v>1.2133654437265899</v>
      </c>
      <c r="AI23" s="13">
        <f>'TUSD BE'!$AI$23*'TUSD BE'!$AI$58</f>
        <v>0</v>
      </c>
      <c r="AJ23" s="13">
        <f ca="1">'TUSD BE'!$AJ$23*'TUSD BE'!$AJ$58</f>
        <v>0</v>
      </c>
      <c r="AK23" s="13">
        <f ca="1">'TUSD BE'!$AK$23*'TUSD BE'!$AK$58</f>
        <v>0</v>
      </c>
      <c r="AL23" s="13">
        <f ca="1">SUM($AH$23:$AK$23)</f>
        <v>1.2133654437265899</v>
      </c>
      <c r="AM23" s="13">
        <f ca="1">SUMIF($L$4:$AL$4,"SUBTOTAL",$L$23:$AL$23)</f>
        <v>-97.61760210779498</v>
      </c>
      <c r="AO23" s="20">
        <f ca="1">+'TUSD BE'!$T$23+'TUSD BE'!$AB$23+'TUSD BE'!$AD$23+'TUSD BE'!$AL$23</f>
        <v>311.6903180613034</v>
      </c>
      <c r="AP23" s="20">
        <f ca="1">+'TUSD BE'!$T$23+'TUSD BE'!$AB$23+'TUSD BE'!$AD$23+'TUSD BE'!$AL$23</f>
        <v>311.6903180613034</v>
      </c>
    </row>
    <row r="24" spans="1:42" ht="11.25" customHeight="1" x14ac:dyDescent="0.3">
      <c r="A24" s="91"/>
      <c r="B24" s="91"/>
      <c r="C24" s="91"/>
      <c r="D24" s="17" t="s">
        <v>30</v>
      </c>
      <c r="E24" s="17" t="s">
        <v>25</v>
      </c>
      <c r="F24" s="17" t="s">
        <v>25</v>
      </c>
      <c r="G24" s="18" t="s">
        <v>74</v>
      </c>
      <c r="H24" s="18" t="s">
        <v>68</v>
      </c>
      <c r="I24" s="18">
        <f>'MERCADO TUSD'!$U$21</f>
        <v>2.0990000000000002</v>
      </c>
      <c r="J24" s="15"/>
      <c r="L24" s="13">
        <f>'TUSD BE'!$L$24*'TUSD BE'!$L$58</f>
        <v>0</v>
      </c>
      <c r="M24" s="13">
        <f>'TUSD BE'!$M$24*'TUSD BE'!$M$58</f>
        <v>-7.0555556849739687E-2</v>
      </c>
      <c r="N24" s="13">
        <f ca="1">'TUSD BE'!$N$24*'TUSD BE'!$N$58</f>
        <v>0</v>
      </c>
      <c r="O24" s="13">
        <f>'TUSD BE'!$O$24*'TUSD BE'!$O$58</f>
        <v>0</v>
      </c>
      <c r="P24" s="13">
        <f>'TUSD BE'!$P$24*'TUSD BE'!$P$58</f>
        <v>0</v>
      </c>
      <c r="Q24" s="13">
        <f>'TUSD BE'!$Q$24*'TUSD BE'!$Q$58</f>
        <v>0</v>
      </c>
      <c r="R24" s="13">
        <f>'TUSD BE'!$R$24*'TUSD BE'!$R$58</f>
        <v>0</v>
      </c>
      <c r="S24" s="13">
        <f>'TUSD BE'!$R$24*'TUSD BE'!$S$58</f>
        <v>0</v>
      </c>
      <c r="T24" s="13">
        <f ca="1">SUM($L$24:$S$24)</f>
        <v>-7.0555556849739687E-2</v>
      </c>
      <c r="U24" s="13">
        <f>'TUSD BE'!$U$24*'TUSD BE'!$U$58</f>
        <v>0</v>
      </c>
      <c r="V24" s="13">
        <f>'TUSD BE'!$V$24*'TUSD BE'!$V$58</f>
        <v>0</v>
      </c>
      <c r="W24" s="13">
        <f>'TUSD BE'!$W$24*'TUSD BE'!$W$58</f>
        <v>0</v>
      </c>
      <c r="X24" s="13">
        <f>'TUSD BE'!$X$24*'TUSD BE'!$X$58</f>
        <v>0</v>
      </c>
      <c r="Y24" s="13">
        <f>'TUSD BE'!$Y$24*'TUSD BE'!$Y$58</f>
        <v>1.6484357910641672</v>
      </c>
      <c r="Z24" s="13">
        <f>'TUSD BE'!$Z$24*'TUSD BE'!$Z$58</f>
        <v>0</v>
      </c>
      <c r="AA24" s="13">
        <f>'TUSD BE'!$AA$24*'TUSD BE'!$AA$58</f>
        <v>0</v>
      </c>
      <c r="AB24" s="13">
        <f>SUM($U$24:$AA$24)</f>
        <v>1.6484357910641672</v>
      </c>
      <c r="AC24" s="13">
        <f>'TUSD BE'!$AC$24*'TUSD BE'!$AC$58</f>
        <v>-100.408847785736</v>
      </c>
      <c r="AD24" s="13">
        <f>SUM($AC$24:$AC$24)</f>
        <v>-100.408847785736</v>
      </c>
      <c r="AE24" s="13">
        <f ca="1">$AO$24*$AO$55</f>
        <v>0</v>
      </c>
      <c r="AF24" s="13">
        <f ca="1">$AP$24*$AP$55</f>
        <v>0</v>
      </c>
      <c r="AG24" s="13">
        <f ca="1">SUM($AE$24:$AF$24)</f>
        <v>0</v>
      </c>
      <c r="AH24" s="13">
        <f>'TUSD BE'!$AH$24*'TUSD BE'!$AH$58</f>
        <v>1.2133654437265899</v>
      </c>
      <c r="AI24" s="13">
        <f>'TUSD BE'!$AI$24*'TUSD BE'!$AI$58</f>
        <v>0</v>
      </c>
      <c r="AJ24" s="13">
        <f ca="1">'TUSD BE'!$AJ$24*'TUSD BE'!$AJ$58</f>
        <v>0</v>
      </c>
      <c r="AK24" s="13">
        <f ca="1">'TUSD BE'!$AK$24*'TUSD BE'!$AK$58</f>
        <v>0</v>
      </c>
      <c r="AL24" s="13">
        <f ca="1">SUM($AH$24:$AK$24)</f>
        <v>1.2133654437265899</v>
      </c>
      <c r="AM24" s="13">
        <f ca="1">SUMIF($L$4:$AL$4,"SUBTOTAL",$L$24:$AL$24)</f>
        <v>-97.61760210779498</v>
      </c>
      <c r="AO24" s="20">
        <f ca="1">+'TUSD BE'!$T$24+'TUSD BE'!$AB$24+'TUSD BE'!$AD$24+'TUSD BE'!$AL$24</f>
        <v>311.6903180613034</v>
      </c>
      <c r="AP24" s="20">
        <f ca="1">+'TUSD BE'!$T$24+'TUSD BE'!$AB$24+'TUSD BE'!$AD$24+'TUSD BE'!$AL$24</f>
        <v>311.6903180613034</v>
      </c>
    </row>
    <row r="25" spans="1:42" ht="11.25" customHeight="1" x14ac:dyDescent="0.3">
      <c r="A25" s="91"/>
      <c r="B25" s="91" t="s">
        <v>84</v>
      </c>
      <c r="C25" s="91" t="s">
        <v>24</v>
      </c>
      <c r="D25" s="17" t="s">
        <v>24</v>
      </c>
      <c r="E25" s="17" t="s">
        <v>25</v>
      </c>
      <c r="F25" s="17" t="s">
        <v>25</v>
      </c>
      <c r="G25" s="18" t="s">
        <v>74</v>
      </c>
      <c r="H25" s="18" t="s">
        <v>68</v>
      </c>
      <c r="I25" s="18">
        <f>'MERCADO TUSD'!$U$22</f>
        <v>0</v>
      </c>
      <c r="J25" s="15"/>
      <c r="L25" s="13">
        <f>'TUSD BE'!$L$25*'TUSD BE'!$L$58</f>
        <v>0</v>
      </c>
      <c r="M25" s="13">
        <f>'TUSD BE'!$M$25*'TUSD BE'!$M$58</f>
        <v>-7.0555556849739687E-2</v>
      </c>
      <c r="N25" s="13">
        <f ca="1">'TUSD BE'!$N$25*'TUSD BE'!$N$58</f>
        <v>0</v>
      </c>
      <c r="O25" s="13">
        <f>'TUSD BE'!$O$25*'TUSD BE'!$O$58</f>
        <v>0</v>
      </c>
      <c r="P25" s="13">
        <f>'TUSD BE'!$P$25*'TUSD BE'!$P$58</f>
        <v>0</v>
      </c>
      <c r="Q25" s="13">
        <f>'TUSD BE'!$Q$25*'TUSD BE'!$Q$58</f>
        <v>-5.933236991611734</v>
      </c>
      <c r="R25" s="13">
        <f>'TUSD BE'!$R$25*'TUSD BE'!$R$58</f>
        <v>-0.96861079194913424</v>
      </c>
      <c r="S25" s="13">
        <f>'TUSD BE'!$R$25*'TUSD BE'!$S$58</f>
        <v>0</v>
      </c>
      <c r="T25" s="13">
        <f ca="1">SUM($L$25:$S$25)</f>
        <v>-6.9724033404106081</v>
      </c>
      <c r="U25" s="13">
        <f>'TUSD BE'!$U$25*'TUSD BE'!$U$58</f>
        <v>0</v>
      </c>
      <c r="V25" s="13">
        <f>'TUSD BE'!$V$25*'TUSD BE'!$V$58</f>
        <v>0</v>
      </c>
      <c r="W25" s="13">
        <f>'TUSD BE'!$W$25*'TUSD BE'!$W$58</f>
        <v>0</v>
      </c>
      <c r="X25" s="13">
        <f>'TUSD BE'!$X$25*'TUSD BE'!$X$58</f>
        <v>0</v>
      </c>
      <c r="Y25" s="13">
        <f>'TUSD BE'!$Y$25*'TUSD BE'!$Y$58</f>
        <v>0</v>
      </c>
      <c r="Z25" s="13">
        <f>'TUSD BE'!$Z$25*'TUSD BE'!$Z$58</f>
        <v>0</v>
      </c>
      <c r="AA25" s="13">
        <f>'TUSD BE'!$AA$25*'TUSD BE'!$AA$58</f>
        <v>0</v>
      </c>
      <c r="AB25" s="13">
        <f>SUM($U$25:$AA$25)</f>
        <v>0</v>
      </c>
      <c r="AC25" s="13">
        <f>'TUSD BE'!$AC$25*'TUSD BE'!$AC$58</f>
        <v>0</v>
      </c>
      <c r="AD25" s="13">
        <f>SUM($AC$25:$AC$25)</f>
        <v>0</v>
      </c>
      <c r="AE25" s="13">
        <f ca="1">$AO$25*$AO$55</f>
        <v>0</v>
      </c>
      <c r="AF25" s="13">
        <f ca="1">$AP$25*$AP$55</f>
        <v>0</v>
      </c>
      <c r="AG25" s="13">
        <f ca="1">SUM($AE$25:$AF$25)</f>
        <v>0</v>
      </c>
      <c r="AH25" s="13">
        <f>'TUSD BE'!$AH$25*'TUSD BE'!$AH$58</f>
        <v>0</v>
      </c>
      <c r="AI25" s="13">
        <f>'TUSD BE'!$AI$25*'TUSD BE'!$AI$58</f>
        <v>0</v>
      </c>
      <c r="AJ25" s="13">
        <f ca="1">'TUSD BE'!$AJ$25*'TUSD BE'!$AJ$58</f>
        <v>0</v>
      </c>
      <c r="AK25" s="13">
        <f ca="1">'TUSD BE'!$AK$25*'TUSD BE'!$AK$58</f>
        <v>0</v>
      </c>
      <c r="AL25" s="13">
        <f ca="1">SUM($AH$25:$AK$25)</f>
        <v>0</v>
      </c>
      <c r="AM25" s="13">
        <f ca="1">SUMIF($L$4:$AL$4,"SUBTOTAL",$L$25:$AL$25)</f>
        <v>-6.9724033404106081</v>
      </c>
      <c r="AO25" s="20">
        <f ca="1">+'TUSD BE'!$T$25+'TUSD BE'!$AB$25+'TUSD BE'!$AD$25+'TUSD BE'!$AL$25</f>
        <v>105.06116201292515</v>
      </c>
      <c r="AP25" s="20">
        <f ca="1">+'TUSD BE'!$T$25+'TUSD BE'!$AB$25+'TUSD BE'!$AD$25+'TUSD BE'!$AL$25</f>
        <v>105.06116201292515</v>
      </c>
    </row>
    <row r="26" spans="1:42" ht="11.25" customHeight="1" x14ac:dyDescent="0.3">
      <c r="A26" s="91"/>
      <c r="B26" s="91"/>
      <c r="C26" s="91"/>
      <c r="D26" s="17" t="s">
        <v>27</v>
      </c>
      <c r="E26" s="17" t="s">
        <v>25</v>
      </c>
      <c r="F26" s="17" t="s">
        <v>25</v>
      </c>
      <c r="G26" s="18" t="s">
        <v>74</v>
      </c>
      <c r="H26" s="18" t="s">
        <v>68</v>
      </c>
      <c r="I26" s="18">
        <f>'MERCADO TUSD'!$U$23</f>
        <v>0</v>
      </c>
      <c r="J26" s="15"/>
      <c r="L26" s="13">
        <f>'TUSD BE'!$L$26*'TUSD BE'!$L$58</f>
        <v>0</v>
      </c>
      <c r="M26" s="13">
        <f>'TUSD BE'!$M$26*'TUSD BE'!$M$58</f>
        <v>-7.0555556849739687E-2</v>
      </c>
      <c r="N26" s="13">
        <f ca="1">'TUSD BE'!$N$26*'TUSD BE'!$N$58</f>
        <v>0</v>
      </c>
      <c r="O26" s="13">
        <f>'TUSD BE'!$O$26*'TUSD BE'!$O$58</f>
        <v>0</v>
      </c>
      <c r="P26" s="13">
        <f>'TUSD BE'!$P$26*'TUSD BE'!$P$58</f>
        <v>0</v>
      </c>
      <c r="Q26" s="13">
        <f>'TUSD BE'!$Q$26*'TUSD BE'!$Q$58</f>
        <v>0</v>
      </c>
      <c r="R26" s="13">
        <f>'TUSD BE'!$R$26*'TUSD BE'!$R$58</f>
        <v>0</v>
      </c>
      <c r="S26" s="13">
        <f>'TUSD BE'!$R$26*'TUSD BE'!$S$58</f>
        <v>0</v>
      </c>
      <c r="T26" s="13">
        <f ca="1">SUM($L$26:$S$26)</f>
        <v>-7.0555556849739687E-2</v>
      </c>
      <c r="U26" s="13">
        <f>'TUSD BE'!$U$26*'TUSD BE'!$U$58</f>
        <v>0</v>
      </c>
      <c r="V26" s="13">
        <f>'TUSD BE'!$V$26*'TUSD BE'!$V$58</f>
        <v>0</v>
      </c>
      <c r="W26" s="13">
        <f>'TUSD BE'!$W$26*'TUSD BE'!$W$58</f>
        <v>0</v>
      </c>
      <c r="X26" s="13">
        <f>'TUSD BE'!$X$26*'TUSD BE'!$X$58</f>
        <v>0</v>
      </c>
      <c r="Y26" s="13">
        <f>'TUSD BE'!$Y$26*'TUSD BE'!$Y$58</f>
        <v>0</v>
      </c>
      <c r="Z26" s="13">
        <f>'TUSD BE'!$Z$26*'TUSD BE'!$Z$58</f>
        <v>0</v>
      </c>
      <c r="AA26" s="13">
        <f>'TUSD BE'!$AA$26*'TUSD BE'!$AA$58</f>
        <v>0</v>
      </c>
      <c r="AB26" s="13">
        <f>SUM($U$26:$AA$26)</f>
        <v>0</v>
      </c>
      <c r="AC26" s="13">
        <f>'TUSD BE'!$AC$26*'TUSD BE'!$AC$58</f>
        <v>0</v>
      </c>
      <c r="AD26" s="13">
        <f>SUM($AC$26:$AC$26)</f>
        <v>0</v>
      </c>
      <c r="AE26" s="13">
        <f ca="1">$AO$26*$AO$55</f>
        <v>0</v>
      </c>
      <c r="AF26" s="13">
        <f ca="1">$AP$26*$AP$55</f>
        <v>0</v>
      </c>
      <c r="AG26" s="13">
        <f ca="1">SUM($AE$26:$AF$26)</f>
        <v>0</v>
      </c>
      <c r="AH26" s="13">
        <f>'TUSD BE'!$AH$26*'TUSD BE'!$AH$58</f>
        <v>0</v>
      </c>
      <c r="AI26" s="13">
        <f>'TUSD BE'!$AI$26*'TUSD BE'!$AI$58</f>
        <v>0</v>
      </c>
      <c r="AJ26" s="13">
        <f ca="1">'TUSD BE'!$AJ$26*'TUSD BE'!$AJ$58</f>
        <v>0</v>
      </c>
      <c r="AK26" s="13">
        <f ca="1">'TUSD BE'!$AK$26*'TUSD BE'!$AK$58</f>
        <v>0</v>
      </c>
      <c r="AL26" s="13">
        <f ca="1">SUM($AH$26:$AK$26)</f>
        <v>0</v>
      </c>
      <c r="AM26" s="13">
        <f ca="1">SUMIF($L$4:$AL$4,"SUBTOTAL",$L$26:$AL$26)</f>
        <v>-7.0555556849739687E-2</v>
      </c>
      <c r="AO26" s="20">
        <f ca="1">+'TUSD BE'!$T$26+'TUSD BE'!$AB$26+'TUSD BE'!$AD$26+'TUSD BE'!$AL$26</f>
        <v>0.8640276214125725</v>
      </c>
      <c r="AP26" s="20">
        <f ca="1">+'TUSD BE'!$T$26+'TUSD BE'!$AB$26+'TUSD BE'!$AD$26+'TUSD BE'!$AL$26</f>
        <v>0.8640276214125725</v>
      </c>
    </row>
    <row r="27" spans="1:42" ht="11.25" customHeight="1" x14ac:dyDescent="0.3">
      <c r="A27" s="91"/>
      <c r="B27" s="91"/>
      <c r="C27" s="91"/>
      <c r="D27" s="17" t="s">
        <v>28</v>
      </c>
      <c r="E27" s="17" t="s">
        <v>25</v>
      </c>
      <c r="F27" s="17" t="s">
        <v>25</v>
      </c>
      <c r="G27" s="18" t="s">
        <v>74</v>
      </c>
      <c r="H27" s="18" t="s">
        <v>68</v>
      </c>
      <c r="I27" s="18">
        <f>'MERCADO TUSD'!$U$24</f>
        <v>0</v>
      </c>
      <c r="J27" s="15"/>
      <c r="L27" s="13">
        <f>'TUSD BE'!$L$27*'TUSD BE'!$L$58</f>
        <v>0</v>
      </c>
      <c r="M27" s="13">
        <f>'TUSD BE'!$M$27*'TUSD BE'!$M$58</f>
        <v>-7.0555556849739687E-2</v>
      </c>
      <c r="N27" s="13">
        <f ca="1">'TUSD BE'!$N$27*'TUSD BE'!$N$58</f>
        <v>0</v>
      </c>
      <c r="O27" s="13">
        <f>'TUSD BE'!$O$27*'TUSD BE'!$O$58</f>
        <v>0</v>
      </c>
      <c r="P27" s="13">
        <f>'TUSD BE'!$P$27*'TUSD BE'!$P$58</f>
        <v>0</v>
      </c>
      <c r="Q27" s="13">
        <f>'TUSD BE'!$Q$27*'TUSD BE'!$Q$58</f>
        <v>0</v>
      </c>
      <c r="R27" s="13">
        <f>'TUSD BE'!$R$27*'TUSD BE'!$R$58</f>
        <v>0</v>
      </c>
      <c r="S27" s="13">
        <f>'TUSD BE'!$R$27*'TUSD BE'!$S$58</f>
        <v>0</v>
      </c>
      <c r="T27" s="13">
        <f ca="1">SUM($L$27:$S$27)</f>
        <v>-7.0555556849739687E-2</v>
      </c>
      <c r="U27" s="13">
        <f>'TUSD BE'!$U$27*'TUSD BE'!$U$58</f>
        <v>0</v>
      </c>
      <c r="V27" s="13">
        <f>'TUSD BE'!$V$27*'TUSD BE'!$V$58</f>
        <v>0</v>
      </c>
      <c r="W27" s="13">
        <f>'TUSD BE'!$W$27*'TUSD BE'!$W$58</f>
        <v>0</v>
      </c>
      <c r="X27" s="13">
        <f>'TUSD BE'!$X$27*'TUSD BE'!$X$58</f>
        <v>0</v>
      </c>
      <c r="Y27" s="13">
        <f>'TUSD BE'!$Y$27*'TUSD BE'!$Y$58</f>
        <v>0</v>
      </c>
      <c r="Z27" s="13">
        <f>'TUSD BE'!$Z$27*'TUSD BE'!$Z$58</f>
        <v>0</v>
      </c>
      <c r="AA27" s="13">
        <f>'TUSD BE'!$AA$27*'TUSD BE'!$AA$58</f>
        <v>0</v>
      </c>
      <c r="AB27" s="13">
        <f>SUM($U$27:$AA$27)</f>
        <v>0</v>
      </c>
      <c r="AC27" s="13">
        <f>'TUSD BE'!$AC$27*'TUSD BE'!$AC$58</f>
        <v>0</v>
      </c>
      <c r="AD27" s="13">
        <f>SUM($AC$27:$AC$27)</f>
        <v>0</v>
      </c>
      <c r="AE27" s="13">
        <f ca="1">$AO$27*$AO$55</f>
        <v>0</v>
      </c>
      <c r="AF27" s="13">
        <f ca="1">$AP$27*$AP$55</f>
        <v>0</v>
      </c>
      <c r="AG27" s="13">
        <f ca="1">SUM($AE$27:$AF$27)</f>
        <v>0</v>
      </c>
      <c r="AH27" s="13">
        <f>'TUSD BE'!$AH$27*'TUSD BE'!$AH$58</f>
        <v>0</v>
      </c>
      <c r="AI27" s="13">
        <f>'TUSD BE'!$AI$27*'TUSD BE'!$AI$58</f>
        <v>0</v>
      </c>
      <c r="AJ27" s="13">
        <f ca="1">'TUSD BE'!$AJ$27*'TUSD BE'!$AJ$58</f>
        <v>0</v>
      </c>
      <c r="AK27" s="13">
        <f ca="1">'TUSD BE'!$AK$27*'TUSD BE'!$AK$58</f>
        <v>0</v>
      </c>
      <c r="AL27" s="13">
        <f ca="1">SUM($AH$27:$AK$27)</f>
        <v>0</v>
      </c>
      <c r="AM27" s="13">
        <f ca="1">SUMIF($L$4:$AL$4,"SUBTOTAL",$L$27:$AL$27)</f>
        <v>-7.0555556849739687E-2</v>
      </c>
      <c r="AO27" s="20">
        <f ca="1">+'TUSD BE'!$T$27+'TUSD BE'!$AB$27+'TUSD BE'!$AD$27+'TUSD BE'!$AL$27</f>
        <v>0.8640276214125725</v>
      </c>
      <c r="AP27" s="20">
        <f ca="1">+'TUSD BE'!$T$27+'TUSD BE'!$AB$27+'TUSD BE'!$AD$27+'TUSD BE'!$AL$27</f>
        <v>0.8640276214125725</v>
      </c>
    </row>
    <row r="28" spans="1:42" ht="11.25" customHeight="1" x14ac:dyDescent="0.3">
      <c r="A28" s="91"/>
      <c r="B28" s="91"/>
      <c r="C28" s="91"/>
      <c r="D28" s="17" t="s">
        <v>29</v>
      </c>
      <c r="E28" s="17" t="s">
        <v>25</v>
      </c>
      <c r="F28" s="17" t="s">
        <v>25</v>
      </c>
      <c r="G28" s="18" t="s">
        <v>74</v>
      </c>
      <c r="H28" s="18" t="s">
        <v>68</v>
      </c>
      <c r="I28" s="18">
        <f>'MERCADO TUSD'!$U$25</f>
        <v>0</v>
      </c>
      <c r="J28" s="15"/>
      <c r="L28" s="13">
        <f>'TUSD BE'!$L$28*'TUSD BE'!$L$58</f>
        <v>0</v>
      </c>
      <c r="M28" s="13">
        <f>'TUSD BE'!$M$28*'TUSD BE'!$M$58</f>
        <v>-7.0555556849739687E-2</v>
      </c>
      <c r="N28" s="13">
        <f ca="1">'TUSD BE'!$N$28*'TUSD BE'!$N$58</f>
        <v>0</v>
      </c>
      <c r="O28" s="13">
        <f>'TUSD BE'!$O$28*'TUSD BE'!$O$58</f>
        <v>0</v>
      </c>
      <c r="P28" s="13">
        <f>'TUSD BE'!$P$28*'TUSD BE'!$P$58</f>
        <v>0</v>
      </c>
      <c r="Q28" s="13">
        <f>'TUSD BE'!$Q$28*'TUSD BE'!$Q$58</f>
        <v>0</v>
      </c>
      <c r="R28" s="13">
        <f>'TUSD BE'!$R$28*'TUSD BE'!$R$58</f>
        <v>0</v>
      </c>
      <c r="S28" s="13">
        <f>'TUSD BE'!$R$28*'TUSD BE'!$S$58</f>
        <v>0</v>
      </c>
      <c r="T28" s="13">
        <f ca="1">SUM($L$28:$S$28)</f>
        <v>-7.0555556849739687E-2</v>
      </c>
      <c r="U28" s="13">
        <f>'TUSD BE'!$U$28*'TUSD BE'!$U$58</f>
        <v>0</v>
      </c>
      <c r="V28" s="13">
        <f>'TUSD BE'!$V$28*'TUSD BE'!$V$58</f>
        <v>0</v>
      </c>
      <c r="W28" s="13">
        <f>'TUSD BE'!$W$28*'TUSD BE'!$W$58</f>
        <v>0</v>
      </c>
      <c r="X28" s="13">
        <f>'TUSD BE'!$X$28*'TUSD BE'!$X$58</f>
        <v>0</v>
      </c>
      <c r="Y28" s="13">
        <f>'TUSD BE'!$Y$28*'TUSD BE'!$Y$58</f>
        <v>0</v>
      </c>
      <c r="Z28" s="13">
        <f>'TUSD BE'!$Z$28*'TUSD BE'!$Z$58</f>
        <v>0</v>
      </c>
      <c r="AA28" s="13">
        <f>'TUSD BE'!$AA$28*'TUSD BE'!$AA$58</f>
        <v>0</v>
      </c>
      <c r="AB28" s="13">
        <f>SUM($U$28:$AA$28)</f>
        <v>0</v>
      </c>
      <c r="AC28" s="13">
        <f>'TUSD BE'!$AC$28*'TUSD BE'!$AC$58</f>
        <v>0</v>
      </c>
      <c r="AD28" s="13">
        <f>SUM($AC$28:$AC$28)</f>
        <v>0</v>
      </c>
      <c r="AE28" s="13">
        <f ca="1">$AO$28*$AO$55</f>
        <v>0</v>
      </c>
      <c r="AF28" s="13">
        <f ca="1">$AP$28*$AP$55</f>
        <v>0</v>
      </c>
      <c r="AG28" s="13">
        <f ca="1">SUM($AE$28:$AF$28)</f>
        <v>0</v>
      </c>
      <c r="AH28" s="13">
        <f>'TUSD BE'!$AH$28*'TUSD BE'!$AH$58</f>
        <v>0</v>
      </c>
      <c r="AI28" s="13">
        <f>'TUSD BE'!$AI$28*'TUSD BE'!$AI$58</f>
        <v>0</v>
      </c>
      <c r="AJ28" s="13">
        <f ca="1">'TUSD BE'!$AJ$28*'TUSD BE'!$AJ$58</f>
        <v>0</v>
      </c>
      <c r="AK28" s="13">
        <f ca="1">'TUSD BE'!$AK$28*'TUSD BE'!$AK$58</f>
        <v>0</v>
      </c>
      <c r="AL28" s="13">
        <f ca="1">SUM($AH$28:$AK$28)</f>
        <v>0</v>
      </c>
      <c r="AM28" s="13">
        <f ca="1">SUMIF($L$4:$AL$4,"SUBTOTAL",$L$28:$AL$28)</f>
        <v>-7.0555556849739687E-2</v>
      </c>
      <c r="AO28" s="20">
        <f ca="1">+'TUSD BE'!$T$28+'TUSD BE'!$AB$28+'TUSD BE'!$AD$28+'TUSD BE'!$AL$28</f>
        <v>0.8640276214125725</v>
      </c>
      <c r="AP28" s="20">
        <f ca="1">+'TUSD BE'!$T$28+'TUSD BE'!$AB$28+'TUSD BE'!$AD$28+'TUSD BE'!$AL$28</f>
        <v>0.8640276214125725</v>
      </c>
    </row>
    <row r="29" spans="1:42" ht="11.25" customHeight="1" x14ac:dyDescent="0.3">
      <c r="A29" s="91"/>
      <c r="B29" s="91"/>
      <c r="C29" s="91"/>
      <c r="D29" s="17" t="s">
        <v>30</v>
      </c>
      <c r="E29" s="17" t="s">
        <v>25</v>
      </c>
      <c r="F29" s="17" t="s">
        <v>25</v>
      </c>
      <c r="G29" s="18" t="s">
        <v>74</v>
      </c>
      <c r="H29" s="18" t="s">
        <v>68</v>
      </c>
      <c r="I29" s="18">
        <f>'MERCADO TUSD'!$U$26</f>
        <v>0</v>
      </c>
      <c r="J29" s="15"/>
      <c r="L29" s="13">
        <f>'TUSD BE'!$L$29*'TUSD BE'!$L$58</f>
        <v>0</v>
      </c>
      <c r="M29" s="13">
        <f>'TUSD BE'!$M$29*'TUSD BE'!$M$58</f>
        <v>-7.0555556849739687E-2</v>
      </c>
      <c r="N29" s="13">
        <f ca="1">'TUSD BE'!$N$29*'TUSD BE'!$N$58</f>
        <v>0</v>
      </c>
      <c r="O29" s="13">
        <f>'TUSD BE'!$O$29*'TUSD BE'!$O$58</f>
        <v>0</v>
      </c>
      <c r="P29" s="13">
        <f>'TUSD BE'!$P$29*'TUSD BE'!$P$58</f>
        <v>0</v>
      </c>
      <c r="Q29" s="13">
        <f>'TUSD BE'!$Q$29*'TUSD BE'!$Q$58</f>
        <v>0</v>
      </c>
      <c r="R29" s="13">
        <f>'TUSD BE'!$R$29*'TUSD BE'!$R$58</f>
        <v>0</v>
      </c>
      <c r="S29" s="13">
        <f>'TUSD BE'!$R$29*'TUSD BE'!$S$58</f>
        <v>0</v>
      </c>
      <c r="T29" s="13">
        <f ca="1">SUM($L$29:$S$29)</f>
        <v>-7.0555556849739687E-2</v>
      </c>
      <c r="U29" s="13">
        <f>'TUSD BE'!$U$29*'TUSD BE'!$U$58</f>
        <v>0</v>
      </c>
      <c r="V29" s="13">
        <f>'TUSD BE'!$V$29*'TUSD BE'!$V$58</f>
        <v>0</v>
      </c>
      <c r="W29" s="13">
        <f>'TUSD BE'!$W$29*'TUSD BE'!$W$58</f>
        <v>0</v>
      </c>
      <c r="X29" s="13">
        <f>'TUSD BE'!$X$29*'TUSD BE'!$X$58</f>
        <v>0</v>
      </c>
      <c r="Y29" s="13">
        <f>'TUSD BE'!$Y$29*'TUSD BE'!$Y$58</f>
        <v>0</v>
      </c>
      <c r="Z29" s="13">
        <f>'TUSD BE'!$Z$29*'TUSD BE'!$Z$58</f>
        <v>0</v>
      </c>
      <c r="AA29" s="13">
        <f>'TUSD BE'!$AA$29*'TUSD BE'!$AA$58</f>
        <v>0</v>
      </c>
      <c r="AB29" s="13">
        <f>SUM($U$29:$AA$29)</f>
        <v>0</v>
      </c>
      <c r="AC29" s="13">
        <f>'TUSD BE'!$AC$29*'TUSD BE'!$AC$58</f>
        <v>0</v>
      </c>
      <c r="AD29" s="13">
        <f>SUM($AC$29:$AC$29)</f>
        <v>0</v>
      </c>
      <c r="AE29" s="13">
        <f ca="1">$AO$29*$AO$55</f>
        <v>0</v>
      </c>
      <c r="AF29" s="13">
        <f ca="1">$AP$29*$AP$55</f>
        <v>0</v>
      </c>
      <c r="AG29" s="13">
        <f ca="1">SUM($AE$29:$AF$29)</f>
        <v>0</v>
      </c>
      <c r="AH29" s="13">
        <f>'TUSD BE'!$AH$29*'TUSD BE'!$AH$58</f>
        <v>0</v>
      </c>
      <c r="AI29" s="13">
        <f>'TUSD BE'!$AI$29*'TUSD BE'!$AI$58</f>
        <v>0</v>
      </c>
      <c r="AJ29" s="13">
        <f ca="1">'TUSD BE'!$AJ$29*'TUSD BE'!$AJ$58</f>
        <v>0</v>
      </c>
      <c r="AK29" s="13">
        <f ca="1">'TUSD BE'!$AK$29*'TUSD BE'!$AK$58</f>
        <v>0</v>
      </c>
      <c r="AL29" s="13">
        <f ca="1">SUM($AH$29:$AK$29)</f>
        <v>0</v>
      </c>
      <c r="AM29" s="13">
        <f ca="1">SUMIF($L$4:$AL$4,"SUBTOTAL",$L$29:$AL$29)</f>
        <v>-7.0555556849739687E-2</v>
      </c>
      <c r="AO29" s="20">
        <f ca="1">+'TUSD BE'!$T$29+'TUSD BE'!$AB$29+'TUSD BE'!$AD$29+'TUSD BE'!$AL$29</f>
        <v>0.8640276214125725</v>
      </c>
      <c r="AP29" s="20">
        <f ca="1">+'TUSD BE'!$T$29+'TUSD BE'!$AB$29+'TUSD BE'!$AD$29+'TUSD BE'!$AL$29</f>
        <v>0.8640276214125725</v>
      </c>
    </row>
    <row r="30" spans="1:42" ht="11.25" customHeight="1" x14ac:dyDescent="0.3">
      <c r="A30" s="91" t="s">
        <v>39</v>
      </c>
      <c r="B30" s="91" t="s">
        <v>82</v>
      </c>
      <c r="C30" s="91" t="s">
        <v>40</v>
      </c>
      <c r="D30" s="91" t="s">
        <v>25</v>
      </c>
      <c r="E30" s="91" t="s">
        <v>25</v>
      </c>
      <c r="F30" s="91" t="s">
        <v>25</v>
      </c>
      <c r="G30" s="18" t="s">
        <v>69</v>
      </c>
      <c r="H30" s="18" t="s">
        <v>68</v>
      </c>
      <c r="I30" s="18">
        <f>'MERCADO TUSD'!$U$27</f>
        <v>0</v>
      </c>
      <c r="J30" s="15"/>
      <c r="L30" s="13">
        <f>'TUSD BE'!$L$30*'TUSD BE'!$L$58</f>
        <v>0</v>
      </c>
      <c r="M30" s="13">
        <f>'TUSD BE'!$M$30*'TUSD BE'!$M$58</f>
        <v>-7.0555556849739687E-2</v>
      </c>
      <c r="N30" s="13">
        <f ca="1">'TUSD BE'!$N$30*'TUSD BE'!$N$58</f>
        <v>0</v>
      </c>
      <c r="O30" s="13">
        <f>'TUSD BE'!$O$30*'TUSD BE'!$O$58</f>
        <v>0</v>
      </c>
      <c r="P30" s="13">
        <f>'TUSD BE'!$P$30*'TUSD BE'!$P$58</f>
        <v>0</v>
      </c>
      <c r="Q30" s="13">
        <f>'TUSD BE'!$Q$30*'TUSD BE'!$Q$58</f>
        <v>-5.933236991611734</v>
      </c>
      <c r="R30" s="13">
        <f>'TUSD BE'!$R$30*'TUSD BE'!$R$58</f>
        <v>-0.96861079194913424</v>
      </c>
      <c r="S30" s="13">
        <f>'TUSD BE'!$R$30*'TUSD BE'!$S$58</f>
        <v>0</v>
      </c>
      <c r="T30" s="13">
        <f ca="1">SUM($L$30:$S$30)</f>
        <v>-6.9724033404106081</v>
      </c>
      <c r="U30" s="13">
        <f>'TUSD BE'!$U$30*'TUSD BE'!$U$58</f>
        <v>0</v>
      </c>
      <c r="V30" s="13">
        <f>'TUSD BE'!$V$30*'TUSD BE'!$V$58</f>
        <v>0</v>
      </c>
      <c r="W30" s="13">
        <f>'TUSD BE'!$W$30*'TUSD BE'!$W$58</f>
        <v>0</v>
      </c>
      <c r="X30" s="13">
        <f>'TUSD BE'!$X$30*'TUSD BE'!$X$58</f>
        <v>0</v>
      </c>
      <c r="Y30" s="13">
        <f>'TUSD BE'!$Y$30*'TUSD BE'!$Y$58</f>
        <v>4.8630858387983968</v>
      </c>
      <c r="Z30" s="13">
        <f>'TUSD BE'!$Z$30*'TUSD BE'!$Z$58</f>
        <v>0</v>
      </c>
      <c r="AA30" s="13">
        <f>'TUSD BE'!$AA$30*'TUSD BE'!$AA$58</f>
        <v>0</v>
      </c>
      <c r="AB30" s="13">
        <f>SUM($U$30:$AA$30)</f>
        <v>4.8630858387983968</v>
      </c>
      <c r="AC30" s="13">
        <f>'TUSD BE'!$AC$30*'TUSD BE'!$AC$58</f>
        <v>-296.20612103516203</v>
      </c>
      <c r="AD30" s="13">
        <f>SUM($AC$30:$AC$30)</f>
        <v>-296.20612103516203</v>
      </c>
      <c r="AE30" s="13">
        <f ca="1">$AO$30*$AO$55</f>
        <v>0</v>
      </c>
      <c r="AF30" s="13">
        <f ca="1">$AP$30*$AP$55</f>
        <v>0</v>
      </c>
      <c r="AG30" s="13">
        <f ca="1">SUM($AE$30:$AF$30)</f>
        <v>0</v>
      </c>
      <c r="AH30" s="13">
        <f>'TUSD BE'!$AH$30*'TUSD BE'!$AH$58</f>
        <v>1.2133654437265899</v>
      </c>
      <c r="AI30" s="13">
        <f>'TUSD BE'!$AI$30*'TUSD BE'!$AI$58</f>
        <v>0</v>
      </c>
      <c r="AJ30" s="13">
        <f ca="1">'TUSD BE'!$AJ$30*'TUSD BE'!$AJ$58</f>
        <v>0</v>
      </c>
      <c r="AK30" s="13">
        <f ca="1">'TUSD BE'!$AK$30*'TUSD BE'!$AK$58</f>
        <v>0</v>
      </c>
      <c r="AL30" s="13">
        <f ca="1">SUM($AH$30:$AK$30)</f>
        <v>1.2133654437265899</v>
      </c>
      <c r="AM30" s="13">
        <f ca="1">SUMIF($L$4:$AL$4,"SUBTOTAL",$L$30:$AL$30)</f>
        <v>-297.10207309304764</v>
      </c>
      <c r="AO30" s="20">
        <f ca="1">+'TUSD BE'!$T$30+'TUSD BE'!$AB$30+'TUSD BE'!$AD$30+'TUSD BE'!$AL$30</f>
        <v>989.01969408539469</v>
      </c>
      <c r="AP30" s="20">
        <f ca="1">+'TUSD BE'!$T$30+'TUSD BE'!$AB$30+'TUSD BE'!$AD$30+'TUSD BE'!$AL$30</f>
        <v>989.01969408539469</v>
      </c>
    </row>
    <row r="31" spans="1:42" ht="11.25" customHeight="1" x14ac:dyDescent="0.3">
      <c r="A31" s="91"/>
      <c r="B31" s="91"/>
      <c r="C31" s="91"/>
      <c r="D31" s="91"/>
      <c r="E31" s="91"/>
      <c r="F31" s="91"/>
      <c r="G31" s="18" t="s">
        <v>80</v>
      </c>
      <c r="H31" s="18" t="s">
        <v>68</v>
      </c>
      <c r="I31" s="18">
        <f>'MERCADO TUSD'!$U$28</f>
        <v>0</v>
      </c>
      <c r="J31" s="15"/>
      <c r="L31" s="13">
        <f>'TUSD BE'!$L$31*'TUSD BE'!$L$58</f>
        <v>0</v>
      </c>
      <c r="M31" s="13">
        <f>'TUSD BE'!$M$31*'TUSD BE'!$M$58</f>
        <v>-7.0555556849739687E-2</v>
      </c>
      <c r="N31" s="13">
        <f ca="1">'TUSD BE'!$N$31*'TUSD BE'!$N$58</f>
        <v>0</v>
      </c>
      <c r="O31" s="13">
        <f>'TUSD BE'!$O$31*'TUSD BE'!$O$58</f>
        <v>0</v>
      </c>
      <c r="P31" s="13">
        <f>'TUSD BE'!$P$31*'TUSD BE'!$P$58</f>
        <v>0</v>
      </c>
      <c r="Q31" s="13">
        <f>'TUSD BE'!$Q$31*'TUSD BE'!$Q$58</f>
        <v>-5.933236991611734</v>
      </c>
      <c r="R31" s="13">
        <f>'TUSD BE'!$R$31*'TUSD BE'!$R$58</f>
        <v>-0.96861079194913424</v>
      </c>
      <c r="S31" s="13">
        <f>'TUSD BE'!$R$31*'TUSD BE'!$S$58</f>
        <v>0</v>
      </c>
      <c r="T31" s="13">
        <f ca="1">SUM($L$31:$S$31)</f>
        <v>-6.9724033404106081</v>
      </c>
      <c r="U31" s="13">
        <f>'TUSD BE'!$U$31*'TUSD BE'!$U$58</f>
        <v>0</v>
      </c>
      <c r="V31" s="13">
        <f>'TUSD BE'!$V$31*'TUSD BE'!$V$58</f>
        <v>0</v>
      </c>
      <c r="W31" s="13">
        <f>'TUSD BE'!$W$31*'TUSD BE'!$W$58</f>
        <v>0</v>
      </c>
      <c r="X31" s="13">
        <f>'TUSD BE'!$X$31*'TUSD BE'!$X$58</f>
        <v>0</v>
      </c>
      <c r="Y31" s="13">
        <f>'TUSD BE'!$Y$31*'TUSD BE'!$Y$58</f>
        <v>2.9175261197410149</v>
      </c>
      <c r="Z31" s="13">
        <f>'TUSD BE'!$Z$31*'TUSD BE'!$Z$58</f>
        <v>0</v>
      </c>
      <c r="AA31" s="13">
        <f>'TUSD BE'!$AA$31*'TUSD BE'!$AA$58</f>
        <v>0</v>
      </c>
      <c r="AB31" s="13">
        <f>SUM($U$31:$AA$31)</f>
        <v>2.9175261197410149</v>
      </c>
      <c r="AC31" s="13">
        <f>'TUSD BE'!$AC$31*'TUSD BE'!$AC$58</f>
        <v>-177.7236124193746</v>
      </c>
      <c r="AD31" s="13">
        <f>SUM($AC$31:$AC$31)</f>
        <v>-177.7236124193746</v>
      </c>
      <c r="AE31" s="13">
        <f ca="1">$AO$31*$AO$55</f>
        <v>0</v>
      </c>
      <c r="AF31" s="13">
        <f ca="1">$AP$31*$AP$55</f>
        <v>0</v>
      </c>
      <c r="AG31" s="13">
        <f ca="1">SUM($AE$31:$AF$31)</f>
        <v>0</v>
      </c>
      <c r="AH31" s="13">
        <f>'TUSD BE'!$AH$31*'TUSD BE'!$AH$58</f>
        <v>1.2133654437265899</v>
      </c>
      <c r="AI31" s="13">
        <f>'TUSD BE'!$AI$31*'TUSD BE'!$AI$58</f>
        <v>0</v>
      </c>
      <c r="AJ31" s="13">
        <f ca="1">'TUSD BE'!$AJ$31*'TUSD BE'!$AJ$58</f>
        <v>0</v>
      </c>
      <c r="AK31" s="13">
        <f ca="1">'TUSD BE'!$AK$31*'TUSD BE'!$AK$58</f>
        <v>0</v>
      </c>
      <c r="AL31" s="13">
        <f ca="1">SUM($AH$31:$AK$31)</f>
        <v>1.2133654437265899</v>
      </c>
      <c r="AM31" s="13">
        <f ca="1">SUMIF($L$4:$AL$4,"SUBTOTAL",$L$31:$AL$31)</f>
        <v>-180.56512419631761</v>
      </c>
      <c r="AO31" s="20">
        <f ca="1">+'TUSD BE'!$T$31+'TUSD BE'!$AB$31+'TUSD BE'!$AD$31+'TUSD BE'!$AL$31</f>
        <v>642.18390772545763</v>
      </c>
      <c r="AP31" s="20">
        <f ca="1">+'TUSD BE'!$T$31+'TUSD BE'!$AB$31+'TUSD BE'!$AD$31+'TUSD BE'!$AL$31</f>
        <v>642.18390772545763</v>
      </c>
    </row>
    <row r="32" spans="1:42" ht="11.25" customHeight="1" x14ac:dyDescent="0.3">
      <c r="A32" s="91"/>
      <c r="B32" s="91"/>
      <c r="C32" s="91"/>
      <c r="D32" s="91"/>
      <c r="E32" s="91"/>
      <c r="F32" s="91"/>
      <c r="G32" s="18" t="s">
        <v>70</v>
      </c>
      <c r="H32" s="18" t="s">
        <v>68</v>
      </c>
      <c r="I32" s="18">
        <f>'MERCADO TUSD'!$U$29</f>
        <v>0</v>
      </c>
      <c r="J32" s="15"/>
      <c r="L32" s="13">
        <f>'TUSD BE'!$L$32*'TUSD BE'!$L$58</f>
        <v>0</v>
      </c>
      <c r="M32" s="13">
        <f>'TUSD BE'!$M$32*'TUSD BE'!$M$58</f>
        <v>-7.0555556849739687E-2</v>
      </c>
      <c r="N32" s="13">
        <f ca="1">'TUSD BE'!$N$32*'TUSD BE'!$N$58</f>
        <v>0</v>
      </c>
      <c r="O32" s="13">
        <f>'TUSD BE'!$O$32*'TUSD BE'!$O$58</f>
        <v>0</v>
      </c>
      <c r="P32" s="13">
        <f>'TUSD BE'!$P$32*'TUSD BE'!$P$58</f>
        <v>0</v>
      </c>
      <c r="Q32" s="13">
        <f>'TUSD BE'!$Q$32*'TUSD BE'!$Q$58</f>
        <v>-5.933236991611734</v>
      </c>
      <c r="R32" s="13">
        <f>'TUSD BE'!$R$32*'TUSD BE'!$R$58</f>
        <v>-0.96861079194913424</v>
      </c>
      <c r="S32" s="13">
        <f>'TUSD BE'!$R$32*'TUSD BE'!$S$58</f>
        <v>0</v>
      </c>
      <c r="T32" s="13">
        <f ca="1">SUM($L$32:$S$32)</f>
        <v>-6.9724033404106081</v>
      </c>
      <c r="U32" s="13">
        <f>'TUSD BE'!$U$32*'TUSD BE'!$U$58</f>
        <v>0</v>
      </c>
      <c r="V32" s="13">
        <f>'TUSD BE'!$V$32*'TUSD BE'!$V$58</f>
        <v>0</v>
      </c>
      <c r="W32" s="13">
        <f>'TUSD BE'!$W$32*'TUSD BE'!$W$58</f>
        <v>0</v>
      </c>
      <c r="X32" s="13">
        <f>'TUSD BE'!$X$32*'TUSD BE'!$X$58</f>
        <v>0</v>
      </c>
      <c r="Y32" s="13">
        <f>'TUSD BE'!$Y$32*'TUSD BE'!$Y$58</f>
        <v>0.97196640068363283</v>
      </c>
      <c r="Z32" s="13">
        <f>'TUSD BE'!$Z$32*'TUSD BE'!$Z$58</f>
        <v>0</v>
      </c>
      <c r="AA32" s="13">
        <f>'TUSD BE'!$AA$32*'TUSD BE'!$AA$58</f>
        <v>0</v>
      </c>
      <c r="AB32" s="13">
        <f>SUM($U$32:$AA$32)</f>
        <v>0.97196640068363283</v>
      </c>
      <c r="AC32" s="13">
        <f>'TUSD BE'!$AC$32*'TUSD BE'!$AC$58</f>
        <v>-59.241204139791542</v>
      </c>
      <c r="AD32" s="13">
        <f>SUM($AC$32:$AC$32)</f>
        <v>-59.241204139791542</v>
      </c>
      <c r="AE32" s="13">
        <f ca="1">$AO$32*$AO$55</f>
        <v>0</v>
      </c>
      <c r="AF32" s="13">
        <f ca="1">$AP$32*$AP$55</f>
        <v>0</v>
      </c>
      <c r="AG32" s="13">
        <f ca="1">SUM($AE$32:$AF$32)</f>
        <v>0</v>
      </c>
      <c r="AH32" s="13">
        <f>'TUSD BE'!$AH$32*'TUSD BE'!$AH$58</f>
        <v>1.2133654437265899</v>
      </c>
      <c r="AI32" s="13">
        <f>'TUSD BE'!$AI$32*'TUSD BE'!$AI$58</f>
        <v>0</v>
      </c>
      <c r="AJ32" s="13">
        <f ca="1">'TUSD BE'!$AJ$32*'TUSD BE'!$AJ$58</f>
        <v>0</v>
      </c>
      <c r="AK32" s="13">
        <f ca="1">'TUSD BE'!$AK$32*'TUSD BE'!$AK$58</f>
        <v>0</v>
      </c>
      <c r="AL32" s="13">
        <f ca="1">SUM($AH$32:$AK$32)</f>
        <v>1.2133654437265899</v>
      </c>
      <c r="AM32" s="13">
        <f ca="1">SUMIF($L$4:$AL$4,"SUBTOTAL",$L$32:$AL$32)</f>
        <v>-64.028275635791928</v>
      </c>
      <c r="AO32" s="20">
        <f ca="1">+'TUSD BE'!$T$32+'TUSD BE'!$AB$32+'TUSD BE'!$AD$32+'TUSD BE'!$AL$32</f>
        <v>295.34831544465993</v>
      </c>
      <c r="AP32" s="20">
        <f ca="1">+'TUSD BE'!$T$32+'TUSD BE'!$AB$32+'TUSD BE'!$AD$32+'TUSD BE'!$AL$32</f>
        <v>295.34831544465993</v>
      </c>
    </row>
    <row r="33" spans="1:42" ht="11.25" customHeight="1" x14ac:dyDescent="0.3">
      <c r="A33" s="91"/>
      <c r="B33" s="17" t="s">
        <v>23</v>
      </c>
      <c r="C33" s="17" t="s">
        <v>40</v>
      </c>
      <c r="D33" s="17" t="s">
        <v>25</v>
      </c>
      <c r="E33" s="17" t="s">
        <v>25</v>
      </c>
      <c r="F33" s="17" t="s">
        <v>25</v>
      </c>
      <c r="G33" s="18" t="s">
        <v>74</v>
      </c>
      <c r="H33" s="18" t="s">
        <v>68</v>
      </c>
      <c r="I33" s="18">
        <f>'MERCADO TUSD'!$U$30</f>
        <v>5733.0710000000008</v>
      </c>
      <c r="J33" s="15"/>
      <c r="L33" s="13">
        <f>'TUSD BE'!$L$33*'TUSD BE'!$L$58</f>
        <v>0</v>
      </c>
      <c r="M33" s="13">
        <f>'TUSD BE'!$M$33*'TUSD BE'!$M$58</f>
        <v>-7.0555556849739687E-2</v>
      </c>
      <c r="N33" s="13">
        <f ca="1">'TUSD BE'!$N$33*'TUSD BE'!$N$58</f>
        <v>0</v>
      </c>
      <c r="O33" s="13">
        <f>'TUSD BE'!$O$33*'TUSD BE'!$O$58</f>
        <v>0</v>
      </c>
      <c r="P33" s="13">
        <f>'TUSD BE'!$P$33*'TUSD BE'!$P$58</f>
        <v>0</v>
      </c>
      <c r="Q33" s="13">
        <f>'TUSD BE'!$Q$33*'TUSD BE'!$Q$58</f>
        <v>-5.933236991611734</v>
      </c>
      <c r="R33" s="13">
        <f>'TUSD BE'!$R$33*'TUSD BE'!$R$58</f>
        <v>-0.96861079194913424</v>
      </c>
      <c r="S33" s="13">
        <f>'TUSD BE'!$R$33*'TUSD BE'!$S$58</f>
        <v>0</v>
      </c>
      <c r="T33" s="13">
        <f ca="1">SUM($L$33:$S$33)</f>
        <v>-6.9724033404106081</v>
      </c>
      <c r="U33" s="13">
        <f>'TUSD BE'!$U$33*'TUSD BE'!$U$58</f>
        <v>0</v>
      </c>
      <c r="V33" s="13">
        <f>'TUSD BE'!$V$33*'TUSD BE'!$V$58</f>
        <v>0</v>
      </c>
      <c r="W33" s="13">
        <f>'TUSD BE'!$W$33*'TUSD BE'!$W$58</f>
        <v>0</v>
      </c>
      <c r="X33" s="13">
        <f>'TUSD BE'!$X$33*'TUSD BE'!$X$58</f>
        <v>0</v>
      </c>
      <c r="Y33" s="13">
        <f>'TUSD BE'!$Y$33*'TUSD BE'!$Y$58</f>
        <v>1.6484357910641672</v>
      </c>
      <c r="Z33" s="13">
        <f>'TUSD BE'!$Z$33*'TUSD BE'!$Z$58</f>
        <v>0</v>
      </c>
      <c r="AA33" s="13">
        <f>'TUSD BE'!$AA$33*'TUSD BE'!$AA$58</f>
        <v>0</v>
      </c>
      <c r="AB33" s="13">
        <f>SUM($U$33:$AA$33)</f>
        <v>1.6484357910641672</v>
      </c>
      <c r="AC33" s="13">
        <f>'TUSD BE'!$AC$33*'TUSD BE'!$AC$58</f>
        <v>-100.408847785736</v>
      </c>
      <c r="AD33" s="13">
        <f>SUM($AC$33:$AC$33)</f>
        <v>-100.408847785736</v>
      </c>
      <c r="AE33" s="13">
        <f ca="1">$AO$33*$AO$55</f>
        <v>0</v>
      </c>
      <c r="AF33" s="13">
        <f ca="1">$AP$33*$AP$55</f>
        <v>0</v>
      </c>
      <c r="AG33" s="13">
        <f ca="1">SUM($AE$33:$AF$33)</f>
        <v>0</v>
      </c>
      <c r="AH33" s="13">
        <f>'TUSD BE'!$AH$33*'TUSD BE'!$AH$58</f>
        <v>1.2133654437265899</v>
      </c>
      <c r="AI33" s="13">
        <f>'TUSD BE'!$AI$33*'TUSD BE'!$AI$58</f>
        <v>0</v>
      </c>
      <c r="AJ33" s="13">
        <f ca="1">'TUSD BE'!$AJ$33*'TUSD BE'!$AJ$58</f>
        <v>0</v>
      </c>
      <c r="AK33" s="13">
        <f ca="1">'TUSD BE'!$AK$33*'TUSD BE'!$AK$58</f>
        <v>0</v>
      </c>
      <c r="AL33" s="13">
        <f ca="1">SUM($AH$33:$AK$33)</f>
        <v>1.2133654437265899</v>
      </c>
      <c r="AM33" s="13">
        <f ca="1">SUMIF($L$4:$AL$4,"SUBTOTAL",$L$33:$AL$33)</f>
        <v>-104.51944989135585</v>
      </c>
      <c r="AO33" s="20">
        <f ca="1">+'TUSD BE'!$T$33+'TUSD BE'!$AB$33+'TUSD BE'!$AD$33+'TUSD BE'!$AL$33</f>
        <v>415.88745245281598</v>
      </c>
      <c r="AP33" s="20">
        <f ca="1">+'TUSD BE'!$T$33+'TUSD BE'!$AB$33+'TUSD BE'!$AD$33+'TUSD BE'!$AL$33</f>
        <v>415.88745245281598</v>
      </c>
    </row>
    <row r="34" spans="1:42" ht="11.25" customHeight="1" x14ac:dyDescent="0.3">
      <c r="A34" s="91"/>
      <c r="B34" s="91" t="s">
        <v>82</v>
      </c>
      <c r="C34" s="91" t="s">
        <v>40</v>
      </c>
      <c r="D34" s="91" t="s">
        <v>85</v>
      </c>
      <c r="E34" s="91" t="s">
        <v>25</v>
      </c>
      <c r="F34" s="91" t="s">
        <v>25</v>
      </c>
      <c r="G34" s="18" t="s">
        <v>69</v>
      </c>
      <c r="H34" s="18" t="s">
        <v>68</v>
      </c>
      <c r="I34" s="18">
        <f>'MERCADO TUSD'!$U$31</f>
        <v>0</v>
      </c>
      <c r="J34" s="15"/>
      <c r="L34" s="13">
        <f>'TUSD BE'!$L$34*'TUSD BE'!$L$58</f>
        <v>0</v>
      </c>
      <c r="M34" s="13">
        <f>'TUSD BE'!$M$34*'TUSD BE'!$M$58</f>
        <v>-7.0555556849739687E-2</v>
      </c>
      <c r="N34" s="13">
        <f ca="1">'TUSD BE'!$N$34*'TUSD BE'!$N$58</f>
        <v>0</v>
      </c>
      <c r="O34" s="13">
        <f>'TUSD BE'!$O$34*'TUSD BE'!$O$58</f>
        <v>0</v>
      </c>
      <c r="P34" s="13">
        <f>'TUSD BE'!$P$34*'TUSD BE'!$P$58</f>
        <v>0</v>
      </c>
      <c r="Q34" s="13">
        <f>'TUSD BE'!$Q$34*'TUSD BE'!$Q$58</f>
        <v>-5.933236991611734</v>
      </c>
      <c r="R34" s="13">
        <f>'TUSD BE'!$R$34*'TUSD BE'!$R$58</f>
        <v>-0.96861079194913424</v>
      </c>
      <c r="S34" s="13">
        <f>'TUSD BE'!$R$34*'TUSD BE'!$S$58</f>
        <v>0</v>
      </c>
      <c r="T34" s="13">
        <f ca="1">SUM($L$34:$S$34)</f>
        <v>-6.9724033404106081</v>
      </c>
      <c r="U34" s="13">
        <f>'TUSD BE'!$U$34*'TUSD BE'!$U$58</f>
        <v>0</v>
      </c>
      <c r="V34" s="13">
        <f>'TUSD BE'!$V$34*'TUSD BE'!$V$58</f>
        <v>0</v>
      </c>
      <c r="W34" s="13">
        <f>'TUSD BE'!$W$34*'TUSD BE'!$W$58</f>
        <v>0</v>
      </c>
      <c r="X34" s="13">
        <f>'TUSD BE'!$X$34*'TUSD BE'!$X$58</f>
        <v>0</v>
      </c>
      <c r="Y34" s="13">
        <f>'TUSD BE'!$Y$34*'TUSD BE'!$Y$58</f>
        <v>4.8630858387983968</v>
      </c>
      <c r="Z34" s="13">
        <f>'TUSD BE'!$Z$34*'TUSD BE'!$Z$58</f>
        <v>0</v>
      </c>
      <c r="AA34" s="13">
        <f>'TUSD BE'!$AA$34*'TUSD BE'!$AA$58</f>
        <v>0</v>
      </c>
      <c r="AB34" s="13">
        <f>SUM($U$34:$AA$34)</f>
        <v>4.8630858387983968</v>
      </c>
      <c r="AC34" s="13">
        <f>'TUSD BE'!$AC$34*'TUSD BE'!$AC$58</f>
        <v>-296.20612103516203</v>
      </c>
      <c r="AD34" s="13">
        <f>SUM($AC$34:$AC$34)</f>
        <v>-296.20612103516203</v>
      </c>
      <c r="AE34" s="13">
        <f ca="1">$AO$34*$AO$55</f>
        <v>0</v>
      </c>
      <c r="AF34" s="13">
        <f ca="1">$AP$34*$AP$55</f>
        <v>0</v>
      </c>
      <c r="AG34" s="13">
        <f ca="1">SUM($AE$34:$AF$34)</f>
        <v>0</v>
      </c>
      <c r="AH34" s="13">
        <f>'TUSD BE'!$AH$34*'TUSD BE'!$AH$58</f>
        <v>1.2133654437265899</v>
      </c>
      <c r="AI34" s="13">
        <f>'TUSD BE'!$AI$34*'TUSD BE'!$AI$58</f>
        <v>0</v>
      </c>
      <c r="AJ34" s="13">
        <f ca="1">'TUSD BE'!$AJ$34*'TUSD BE'!$AJ$58</f>
        <v>0</v>
      </c>
      <c r="AK34" s="13">
        <f ca="1">'TUSD BE'!$AK$34*'TUSD BE'!$AK$58</f>
        <v>0</v>
      </c>
      <c r="AL34" s="13">
        <f ca="1">SUM($AH$34:$AK$34)</f>
        <v>1.2133654437265899</v>
      </c>
      <c r="AM34" s="13">
        <f ca="1">SUMIF($L$4:$AL$4,"SUBTOTAL",$L$34:$AL$34)</f>
        <v>-297.10207309304764</v>
      </c>
      <c r="AO34" s="20">
        <f ca="1">+'TUSD BE'!$T$34+'TUSD BE'!$AB$34+'TUSD BE'!$AD$34+'TUSD BE'!$AL$34</f>
        <v>989.01969408539469</v>
      </c>
      <c r="AP34" s="20">
        <f ca="1">+'TUSD BE'!$T$34+'TUSD BE'!$AB$34+'TUSD BE'!$AD$34+'TUSD BE'!$AL$34</f>
        <v>989.01969408539469</v>
      </c>
    </row>
    <row r="35" spans="1:42" ht="11.25" customHeight="1" x14ac:dyDescent="0.3">
      <c r="A35" s="91"/>
      <c r="B35" s="91"/>
      <c r="C35" s="91"/>
      <c r="D35" s="91"/>
      <c r="E35" s="91"/>
      <c r="F35" s="91"/>
      <c r="G35" s="18" t="s">
        <v>80</v>
      </c>
      <c r="H35" s="18" t="s">
        <v>68</v>
      </c>
      <c r="I35" s="18">
        <f>'MERCADO TUSD'!$U$32</f>
        <v>0</v>
      </c>
      <c r="J35" s="15"/>
      <c r="L35" s="13">
        <f>'TUSD BE'!$L$35*'TUSD BE'!$L$58</f>
        <v>0</v>
      </c>
      <c r="M35" s="13">
        <f>'TUSD BE'!$M$35*'TUSD BE'!$M$58</f>
        <v>-7.0555556849739687E-2</v>
      </c>
      <c r="N35" s="13">
        <f ca="1">'TUSD BE'!$N$35*'TUSD BE'!$N$58</f>
        <v>0</v>
      </c>
      <c r="O35" s="13">
        <f>'TUSD BE'!$O$35*'TUSD BE'!$O$58</f>
        <v>0</v>
      </c>
      <c r="P35" s="13">
        <f>'TUSD BE'!$P$35*'TUSD BE'!$P$58</f>
        <v>0</v>
      </c>
      <c r="Q35" s="13">
        <f>'TUSD BE'!$Q$35*'TUSD BE'!$Q$58</f>
        <v>-5.933236991611734</v>
      </c>
      <c r="R35" s="13">
        <f>'TUSD BE'!$R$35*'TUSD BE'!$R$58</f>
        <v>-0.96861079194913424</v>
      </c>
      <c r="S35" s="13">
        <f>'TUSD BE'!$R$35*'TUSD BE'!$S$58</f>
        <v>0</v>
      </c>
      <c r="T35" s="13">
        <f ca="1">SUM($L$35:$S$35)</f>
        <v>-6.9724033404106081</v>
      </c>
      <c r="U35" s="13">
        <f>'TUSD BE'!$U$35*'TUSD BE'!$U$58</f>
        <v>0</v>
      </c>
      <c r="V35" s="13">
        <f>'TUSD BE'!$V$35*'TUSD BE'!$V$58</f>
        <v>0</v>
      </c>
      <c r="W35" s="13">
        <f>'TUSD BE'!$W$35*'TUSD BE'!$W$58</f>
        <v>0</v>
      </c>
      <c r="X35" s="13">
        <f>'TUSD BE'!$X$35*'TUSD BE'!$X$58</f>
        <v>0</v>
      </c>
      <c r="Y35" s="13">
        <f>'TUSD BE'!$Y$35*'TUSD BE'!$Y$58</f>
        <v>2.9175261197410149</v>
      </c>
      <c r="Z35" s="13">
        <f>'TUSD BE'!$Z$35*'TUSD BE'!$Z$58</f>
        <v>0</v>
      </c>
      <c r="AA35" s="13">
        <f>'TUSD BE'!$AA$35*'TUSD BE'!$AA$58</f>
        <v>0</v>
      </c>
      <c r="AB35" s="13">
        <f>SUM($U$35:$AA$35)</f>
        <v>2.9175261197410149</v>
      </c>
      <c r="AC35" s="13">
        <f>'TUSD BE'!$AC$35*'TUSD BE'!$AC$58</f>
        <v>-177.7236124193746</v>
      </c>
      <c r="AD35" s="13">
        <f>SUM($AC$35:$AC$35)</f>
        <v>-177.7236124193746</v>
      </c>
      <c r="AE35" s="13">
        <f ca="1">$AO$35*$AO$55</f>
        <v>0</v>
      </c>
      <c r="AF35" s="13">
        <f ca="1">$AP$35*$AP$55</f>
        <v>0</v>
      </c>
      <c r="AG35" s="13">
        <f ca="1">SUM($AE$35:$AF$35)</f>
        <v>0</v>
      </c>
      <c r="AH35" s="13">
        <f>'TUSD BE'!$AH$35*'TUSD BE'!$AH$58</f>
        <v>1.2133654437265899</v>
      </c>
      <c r="AI35" s="13">
        <f>'TUSD BE'!$AI$35*'TUSD BE'!$AI$58</f>
        <v>0</v>
      </c>
      <c r="AJ35" s="13">
        <f ca="1">'TUSD BE'!$AJ$35*'TUSD BE'!$AJ$58</f>
        <v>0</v>
      </c>
      <c r="AK35" s="13">
        <f ca="1">'TUSD BE'!$AK$35*'TUSD BE'!$AK$58</f>
        <v>0</v>
      </c>
      <c r="AL35" s="13">
        <f ca="1">SUM($AH$35:$AK$35)</f>
        <v>1.2133654437265899</v>
      </c>
      <c r="AM35" s="13">
        <f ca="1">SUMIF($L$4:$AL$4,"SUBTOTAL",$L$35:$AL$35)</f>
        <v>-180.56512419631761</v>
      </c>
      <c r="AO35" s="20">
        <f ca="1">+'TUSD BE'!$T$35+'TUSD BE'!$AB$35+'TUSD BE'!$AD$35+'TUSD BE'!$AL$35</f>
        <v>642.18390772545763</v>
      </c>
      <c r="AP35" s="20">
        <f ca="1">+'TUSD BE'!$T$35+'TUSD BE'!$AB$35+'TUSD BE'!$AD$35+'TUSD BE'!$AL$35</f>
        <v>642.18390772545763</v>
      </c>
    </row>
    <row r="36" spans="1:42" ht="11.25" customHeight="1" x14ac:dyDescent="0.3">
      <c r="A36" s="91"/>
      <c r="B36" s="91"/>
      <c r="C36" s="91"/>
      <c r="D36" s="91"/>
      <c r="E36" s="91"/>
      <c r="F36" s="91"/>
      <c r="G36" s="18" t="s">
        <v>70</v>
      </c>
      <c r="H36" s="18" t="s">
        <v>68</v>
      </c>
      <c r="I36" s="18">
        <f>'MERCADO TUSD'!$U$33</f>
        <v>0</v>
      </c>
      <c r="J36" s="15"/>
      <c r="L36" s="13">
        <f>'TUSD BE'!$L$36*'TUSD BE'!$L$58</f>
        <v>0</v>
      </c>
      <c r="M36" s="13">
        <f>'TUSD BE'!$M$36*'TUSD BE'!$M$58</f>
        <v>-7.0555556849739687E-2</v>
      </c>
      <c r="N36" s="13">
        <f ca="1">'TUSD BE'!$N$36*'TUSD BE'!$N$58</f>
        <v>0</v>
      </c>
      <c r="O36" s="13">
        <f>'TUSD BE'!$O$36*'TUSD BE'!$O$58</f>
        <v>0</v>
      </c>
      <c r="P36" s="13">
        <f>'TUSD BE'!$P$36*'TUSD BE'!$P$58</f>
        <v>0</v>
      </c>
      <c r="Q36" s="13">
        <f>'TUSD BE'!$Q$36*'TUSD BE'!$Q$58</f>
        <v>-5.933236991611734</v>
      </c>
      <c r="R36" s="13">
        <f>'TUSD BE'!$R$36*'TUSD BE'!$R$58</f>
        <v>-0.96861079194913424</v>
      </c>
      <c r="S36" s="13">
        <f>'TUSD BE'!$R$36*'TUSD BE'!$S$58</f>
        <v>0</v>
      </c>
      <c r="T36" s="13">
        <f ca="1">SUM($L$36:$S$36)</f>
        <v>-6.9724033404106081</v>
      </c>
      <c r="U36" s="13">
        <f>'TUSD BE'!$U$36*'TUSD BE'!$U$58</f>
        <v>0</v>
      </c>
      <c r="V36" s="13">
        <f>'TUSD BE'!$V$36*'TUSD BE'!$V$58</f>
        <v>0</v>
      </c>
      <c r="W36" s="13">
        <f>'TUSD BE'!$W$36*'TUSD BE'!$W$58</f>
        <v>0</v>
      </c>
      <c r="X36" s="13">
        <f>'TUSD BE'!$X$36*'TUSD BE'!$X$58</f>
        <v>0</v>
      </c>
      <c r="Y36" s="13">
        <f>'TUSD BE'!$Y$36*'TUSD BE'!$Y$58</f>
        <v>0.97196640068363283</v>
      </c>
      <c r="Z36" s="13">
        <f>'TUSD BE'!$Z$36*'TUSD BE'!$Z$58</f>
        <v>0</v>
      </c>
      <c r="AA36" s="13">
        <f>'TUSD BE'!$AA$36*'TUSD BE'!$AA$58</f>
        <v>0</v>
      </c>
      <c r="AB36" s="13">
        <f>SUM($U$36:$AA$36)</f>
        <v>0.97196640068363283</v>
      </c>
      <c r="AC36" s="13">
        <f>'TUSD BE'!$AC$36*'TUSD BE'!$AC$58</f>
        <v>-59.241204139791542</v>
      </c>
      <c r="AD36" s="13">
        <f>SUM($AC$36:$AC$36)</f>
        <v>-59.241204139791542</v>
      </c>
      <c r="AE36" s="13">
        <f ca="1">$AO$36*$AO$55</f>
        <v>0</v>
      </c>
      <c r="AF36" s="13">
        <f ca="1">$AP$36*$AP$55</f>
        <v>0</v>
      </c>
      <c r="AG36" s="13">
        <f ca="1">SUM($AE$36:$AF$36)</f>
        <v>0</v>
      </c>
      <c r="AH36" s="13">
        <f>'TUSD BE'!$AH$36*'TUSD BE'!$AH$58</f>
        <v>1.2133654437265899</v>
      </c>
      <c r="AI36" s="13">
        <f>'TUSD BE'!$AI$36*'TUSD BE'!$AI$58</f>
        <v>0</v>
      </c>
      <c r="AJ36" s="13">
        <f ca="1">'TUSD BE'!$AJ$36*'TUSD BE'!$AJ$58</f>
        <v>0</v>
      </c>
      <c r="AK36" s="13">
        <f ca="1">'TUSD BE'!$AK$36*'TUSD BE'!$AK$58</f>
        <v>0</v>
      </c>
      <c r="AL36" s="13">
        <f ca="1">SUM($AH$36:$AK$36)</f>
        <v>1.2133654437265899</v>
      </c>
      <c r="AM36" s="13">
        <f ca="1">SUMIF($L$4:$AL$4,"SUBTOTAL",$L$36:$AL$36)</f>
        <v>-64.028275635791928</v>
      </c>
      <c r="AO36" s="20">
        <f ca="1">+'TUSD BE'!$T$36+'TUSD BE'!$AB$36+'TUSD BE'!$AD$36+'TUSD BE'!$AL$36</f>
        <v>295.34831544465993</v>
      </c>
      <c r="AP36" s="20">
        <f ca="1">+'TUSD BE'!$T$36+'TUSD BE'!$AB$36+'TUSD BE'!$AD$36+'TUSD BE'!$AL$36</f>
        <v>295.34831544465993</v>
      </c>
    </row>
    <row r="37" spans="1:42" ht="11.25" customHeight="1" x14ac:dyDescent="0.3">
      <c r="A37" s="91"/>
      <c r="B37" s="17" t="s">
        <v>23</v>
      </c>
      <c r="C37" s="17" t="s">
        <v>40</v>
      </c>
      <c r="D37" s="17" t="s">
        <v>85</v>
      </c>
      <c r="E37" s="17" t="s">
        <v>25</v>
      </c>
      <c r="F37" s="17" t="s">
        <v>25</v>
      </c>
      <c r="G37" s="18" t="s">
        <v>74</v>
      </c>
      <c r="H37" s="18" t="s">
        <v>68</v>
      </c>
      <c r="I37" s="18">
        <f>'MERCADO TUSD'!$U$34</f>
        <v>0</v>
      </c>
      <c r="J37" s="15"/>
      <c r="L37" s="13">
        <f>'TUSD BE'!$L$37*'TUSD BE'!$L$58</f>
        <v>0</v>
      </c>
      <c r="M37" s="13">
        <f>'TUSD BE'!$M$37*'TUSD BE'!$M$58</f>
        <v>-7.0555556849739687E-2</v>
      </c>
      <c r="N37" s="13">
        <f ca="1">'TUSD BE'!$N$37*'TUSD BE'!$N$58</f>
        <v>0</v>
      </c>
      <c r="O37" s="13">
        <f>'TUSD BE'!$O$37*'TUSD BE'!$O$58</f>
        <v>0</v>
      </c>
      <c r="P37" s="13">
        <f>'TUSD BE'!$P$37*'TUSD BE'!$P$58</f>
        <v>0</v>
      </c>
      <c r="Q37" s="13">
        <f>'TUSD BE'!$Q$37*'TUSD BE'!$Q$58</f>
        <v>-5.933236991611734</v>
      </c>
      <c r="R37" s="13">
        <f>'TUSD BE'!$R$37*'TUSD BE'!$R$58</f>
        <v>-0.96861079194913424</v>
      </c>
      <c r="S37" s="13">
        <f>'TUSD BE'!$R$37*'TUSD BE'!$S$58</f>
        <v>0</v>
      </c>
      <c r="T37" s="13">
        <f ca="1">SUM($L$37:$S$37)</f>
        <v>-6.9724033404106081</v>
      </c>
      <c r="U37" s="13">
        <f>'TUSD BE'!$U$37*'TUSD BE'!$U$58</f>
        <v>0</v>
      </c>
      <c r="V37" s="13">
        <f>'TUSD BE'!$V$37*'TUSD BE'!$V$58</f>
        <v>0</v>
      </c>
      <c r="W37" s="13">
        <f>'TUSD BE'!$W$37*'TUSD BE'!$W$58</f>
        <v>0</v>
      </c>
      <c r="X37" s="13">
        <f>'TUSD BE'!$X$37*'TUSD BE'!$X$58</f>
        <v>0</v>
      </c>
      <c r="Y37" s="13">
        <f>'TUSD BE'!$Y$37*'TUSD BE'!$Y$58</f>
        <v>1.6484357910641672</v>
      </c>
      <c r="Z37" s="13">
        <f>'TUSD BE'!$Z$37*'TUSD BE'!$Z$58</f>
        <v>0</v>
      </c>
      <c r="AA37" s="13">
        <f>'TUSD BE'!$AA$37*'TUSD BE'!$AA$58</f>
        <v>0</v>
      </c>
      <c r="AB37" s="13">
        <f>SUM($U$37:$AA$37)</f>
        <v>1.6484357910641672</v>
      </c>
      <c r="AC37" s="13">
        <f>'TUSD BE'!$AC$37*'TUSD BE'!$AC$58</f>
        <v>-100.408847785736</v>
      </c>
      <c r="AD37" s="13">
        <f>SUM($AC$37:$AC$37)</f>
        <v>-100.408847785736</v>
      </c>
      <c r="AE37" s="13">
        <f ca="1">$AO$37*$AO$55</f>
        <v>0</v>
      </c>
      <c r="AF37" s="13">
        <f ca="1">$AP$37*$AP$55</f>
        <v>0</v>
      </c>
      <c r="AG37" s="13">
        <f ca="1">SUM($AE$37:$AF$37)</f>
        <v>0</v>
      </c>
      <c r="AH37" s="13">
        <f>'TUSD BE'!$AH$37*'TUSD BE'!$AH$58</f>
        <v>1.2133654437265899</v>
      </c>
      <c r="AI37" s="13">
        <f>'TUSD BE'!$AI$37*'TUSD BE'!$AI$58</f>
        <v>0</v>
      </c>
      <c r="AJ37" s="13">
        <f ca="1">'TUSD BE'!$AJ$37*'TUSD BE'!$AJ$58</f>
        <v>0</v>
      </c>
      <c r="AK37" s="13">
        <f ca="1">'TUSD BE'!$AK$37*'TUSD BE'!$AK$58</f>
        <v>0</v>
      </c>
      <c r="AL37" s="13">
        <f ca="1">SUM($AH$37:$AK$37)</f>
        <v>1.2133654437265899</v>
      </c>
      <c r="AM37" s="13">
        <f ca="1">SUMIF($L$4:$AL$4,"SUBTOTAL",$L$37:$AL$37)</f>
        <v>-104.51944989135585</v>
      </c>
      <c r="AO37" s="20">
        <f ca="1">+'TUSD BE'!$T$37+'TUSD BE'!$AB$37+'TUSD BE'!$AD$37+'TUSD BE'!$AL$37</f>
        <v>415.88745245281598</v>
      </c>
      <c r="AP37" s="20">
        <f ca="1">+'TUSD BE'!$T$37+'TUSD BE'!$AB$37+'TUSD BE'!$AD$37+'TUSD BE'!$AL$37</f>
        <v>415.88745245281598</v>
      </c>
    </row>
    <row r="38" spans="1:42" ht="11.25" customHeight="1" x14ac:dyDescent="0.3">
      <c r="A38" s="91"/>
      <c r="B38" s="91" t="s">
        <v>82</v>
      </c>
      <c r="C38" s="91" t="s">
        <v>40</v>
      </c>
      <c r="D38" s="91" t="s">
        <v>86</v>
      </c>
      <c r="E38" s="91" t="s">
        <v>25</v>
      </c>
      <c r="F38" s="91" t="s">
        <v>25</v>
      </c>
      <c r="G38" s="18" t="s">
        <v>69</v>
      </c>
      <c r="H38" s="18" t="s">
        <v>68</v>
      </c>
      <c r="I38" s="18">
        <f>'MERCADO TUSD'!$U$35</f>
        <v>0</v>
      </c>
      <c r="J38" s="15"/>
      <c r="L38" s="13">
        <f>'TUSD BE'!$L$38*'TUSD BE'!$L$58</f>
        <v>0</v>
      </c>
      <c r="M38" s="13">
        <f>'TUSD BE'!$M$38*'TUSD BE'!$M$58</f>
        <v>-7.0555556849739687E-2</v>
      </c>
      <c r="N38" s="13">
        <f ca="1">'TUSD BE'!$N$38*'TUSD BE'!$N$58</f>
        <v>0</v>
      </c>
      <c r="O38" s="13">
        <f>'TUSD BE'!$O$38*'TUSD BE'!$O$58</f>
        <v>0</v>
      </c>
      <c r="P38" s="13">
        <f>'TUSD BE'!$P$38*'TUSD BE'!$P$58</f>
        <v>0</v>
      </c>
      <c r="Q38" s="13">
        <f>'TUSD BE'!$Q$38*'TUSD BE'!$Q$58</f>
        <v>-5.933236991611734</v>
      </c>
      <c r="R38" s="13">
        <f>'TUSD BE'!$R$38*'TUSD BE'!$R$58</f>
        <v>-0.96861079194913424</v>
      </c>
      <c r="S38" s="13">
        <f>'TUSD BE'!$R$38*'TUSD BE'!$S$58</f>
        <v>0</v>
      </c>
      <c r="T38" s="13">
        <f ca="1">SUM($L$38:$S$38)</f>
        <v>-6.9724033404106081</v>
      </c>
      <c r="U38" s="13">
        <f>'TUSD BE'!$U$38*'TUSD BE'!$U$58</f>
        <v>0</v>
      </c>
      <c r="V38" s="13">
        <f>'TUSD BE'!$V$38*'TUSD BE'!$V$58</f>
        <v>0</v>
      </c>
      <c r="W38" s="13">
        <f>'TUSD BE'!$W$38*'TUSD BE'!$W$58</f>
        <v>0</v>
      </c>
      <c r="X38" s="13">
        <f>'TUSD BE'!$X$38*'TUSD BE'!$X$58</f>
        <v>0</v>
      </c>
      <c r="Y38" s="13">
        <f>'TUSD BE'!$Y$38*'TUSD BE'!$Y$58</f>
        <v>4.8630858387983968</v>
      </c>
      <c r="Z38" s="13">
        <f>'TUSD BE'!$Z$38*'TUSD BE'!$Z$58</f>
        <v>0</v>
      </c>
      <c r="AA38" s="13">
        <f>'TUSD BE'!$AA$38*'TUSD BE'!$AA$58</f>
        <v>0</v>
      </c>
      <c r="AB38" s="13">
        <f>SUM($U$38:$AA$38)</f>
        <v>4.8630858387983968</v>
      </c>
      <c r="AC38" s="13">
        <f>'TUSD BE'!$AC$38*'TUSD BE'!$AC$58</f>
        <v>-296.20612103516203</v>
      </c>
      <c r="AD38" s="13">
        <f>SUM($AC$38:$AC$38)</f>
        <v>-296.20612103516203</v>
      </c>
      <c r="AE38" s="13">
        <f ca="1">$AO$38*$AO$55</f>
        <v>0</v>
      </c>
      <c r="AF38" s="13">
        <f ca="1">$AP$38*$AP$55</f>
        <v>0</v>
      </c>
      <c r="AG38" s="13">
        <f ca="1">SUM($AE$38:$AF$38)</f>
        <v>0</v>
      </c>
      <c r="AH38" s="13">
        <f>'TUSD BE'!$AH$38*'TUSD BE'!$AH$58</f>
        <v>1.2133654437265899</v>
      </c>
      <c r="AI38" s="13">
        <f>'TUSD BE'!$AI$38*'TUSD BE'!$AI$58</f>
        <v>0</v>
      </c>
      <c r="AJ38" s="13">
        <f ca="1">'TUSD BE'!$AJ$38*'TUSD BE'!$AJ$58</f>
        <v>0</v>
      </c>
      <c r="AK38" s="13">
        <f ca="1">'TUSD BE'!$AK$38*'TUSD BE'!$AK$58</f>
        <v>0</v>
      </c>
      <c r="AL38" s="13">
        <f ca="1">SUM($AH$38:$AK$38)</f>
        <v>1.2133654437265899</v>
      </c>
      <c r="AM38" s="13">
        <f ca="1">SUMIF($L$4:$AL$4,"SUBTOTAL",$L$38:$AL$38)</f>
        <v>-297.10207309304764</v>
      </c>
      <c r="AO38" s="20">
        <f ca="1">+'TUSD BE'!$T$38+'TUSD BE'!$AB$38+'TUSD BE'!$AD$38+'TUSD BE'!$AL$38</f>
        <v>989.01969408539469</v>
      </c>
      <c r="AP38" s="20">
        <f ca="1">+'TUSD BE'!$T$38+'TUSD BE'!$AB$38+'TUSD BE'!$AD$38+'TUSD BE'!$AL$38</f>
        <v>989.01969408539469</v>
      </c>
    </row>
    <row r="39" spans="1:42" ht="11.25" customHeight="1" x14ac:dyDescent="0.3">
      <c r="A39" s="91"/>
      <c r="B39" s="91"/>
      <c r="C39" s="91"/>
      <c r="D39" s="91"/>
      <c r="E39" s="91"/>
      <c r="F39" s="91"/>
      <c r="G39" s="18" t="s">
        <v>80</v>
      </c>
      <c r="H39" s="18" t="s">
        <v>68</v>
      </c>
      <c r="I39" s="18">
        <f>'MERCADO TUSD'!$U$36</f>
        <v>0</v>
      </c>
      <c r="J39" s="15"/>
      <c r="L39" s="13">
        <f>'TUSD BE'!$L$39*'TUSD BE'!$L$58</f>
        <v>0</v>
      </c>
      <c r="M39" s="13">
        <f>'TUSD BE'!$M$39*'TUSD BE'!$M$58</f>
        <v>-7.0555556849739687E-2</v>
      </c>
      <c r="N39" s="13">
        <f ca="1">'TUSD BE'!$N$39*'TUSD BE'!$N$58</f>
        <v>0</v>
      </c>
      <c r="O39" s="13">
        <f>'TUSD BE'!$O$39*'TUSD BE'!$O$58</f>
        <v>0</v>
      </c>
      <c r="P39" s="13">
        <f>'TUSD BE'!$P$39*'TUSD BE'!$P$58</f>
        <v>0</v>
      </c>
      <c r="Q39" s="13">
        <f>'TUSD BE'!$Q$39*'TUSD BE'!$Q$58</f>
        <v>-5.933236991611734</v>
      </c>
      <c r="R39" s="13">
        <f>'TUSD BE'!$R$39*'TUSD BE'!$R$58</f>
        <v>-0.96861079194913424</v>
      </c>
      <c r="S39" s="13">
        <f>'TUSD BE'!$R$39*'TUSD BE'!$S$58</f>
        <v>0</v>
      </c>
      <c r="T39" s="13">
        <f ca="1">SUM($L$39:$S$39)</f>
        <v>-6.9724033404106081</v>
      </c>
      <c r="U39" s="13">
        <f>'TUSD BE'!$U$39*'TUSD BE'!$U$58</f>
        <v>0</v>
      </c>
      <c r="V39" s="13">
        <f>'TUSD BE'!$V$39*'TUSD BE'!$V$58</f>
        <v>0</v>
      </c>
      <c r="W39" s="13">
        <f>'TUSD BE'!$W$39*'TUSD BE'!$W$58</f>
        <v>0</v>
      </c>
      <c r="X39" s="13">
        <f>'TUSD BE'!$X$39*'TUSD BE'!$X$58</f>
        <v>0</v>
      </c>
      <c r="Y39" s="13">
        <f>'TUSD BE'!$Y$39*'TUSD BE'!$Y$58</f>
        <v>2.9175261197410149</v>
      </c>
      <c r="Z39" s="13">
        <f>'TUSD BE'!$Z$39*'TUSD BE'!$Z$58</f>
        <v>0</v>
      </c>
      <c r="AA39" s="13">
        <f>'TUSD BE'!$AA$39*'TUSD BE'!$AA$58</f>
        <v>0</v>
      </c>
      <c r="AB39" s="13">
        <f>SUM($U$39:$AA$39)</f>
        <v>2.9175261197410149</v>
      </c>
      <c r="AC39" s="13">
        <f>'TUSD BE'!$AC$39*'TUSD BE'!$AC$58</f>
        <v>-177.7236124193746</v>
      </c>
      <c r="AD39" s="13">
        <f>SUM($AC$39:$AC$39)</f>
        <v>-177.7236124193746</v>
      </c>
      <c r="AE39" s="13">
        <f ca="1">$AO$39*$AO$55</f>
        <v>0</v>
      </c>
      <c r="AF39" s="13">
        <f ca="1">$AP$39*$AP$55</f>
        <v>0</v>
      </c>
      <c r="AG39" s="13">
        <f ca="1">SUM($AE$39:$AF$39)</f>
        <v>0</v>
      </c>
      <c r="AH39" s="13">
        <f>'TUSD BE'!$AH$39*'TUSD BE'!$AH$58</f>
        <v>1.2133654437265899</v>
      </c>
      <c r="AI39" s="13">
        <f>'TUSD BE'!$AI$39*'TUSD BE'!$AI$58</f>
        <v>0</v>
      </c>
      <c r="AJ39" s="13">
        <f ca="1">'TUSD BE'!$AJ$39*'TUSD BE'!$AJ$58</f>
        <v>0</v>
      </c>
      <c r="AK39" s="13">
        <f ca="1">'TUSD BE'!$AK$39*'TUSD BE'!$AK$58</f>
        <v>0</v>
      </c>
      <c r="AL39" s="13">
        <f ca="1">SUM($AH$39:$AK$39)</f>
        <v>1.2133654437265899</v>
      </c>
      <c r="AM39" s="13">
        <f ca="1">SUMIF($L$4:$AL$4,"SUBTOTAL",$L$39:$AL$39)</f>
        <v>-180.56512419631761</v>
      </c>
      <c r="AO39" s="20">
        <f ca="1">+'TUSD BE'!$T$39+'TUSD BE'!$AB$39+'TUSD BE'!$AD$39+'TUSD BE'!$AL$39</f>
        <v>642.18390772545763</v>
      </c>
      <c r="AP39" s="20">
        <f ca="1">+'TUSD BE'!$T$39+'TUSD BE'!$AB$39+'TUSD BE'!$AD$39+'TUSD BE'!$AL$39</f>
        <v>642.18390772545763</v>
      </c>
    </row>
    <row r="40" spans="1:42" ht="11.25" customHeight="1" x14ac:dyDescent="0.3">
      <c r="A40" s="91"/>
      <c r="B40" s="91"/>
      <c r="C40" s="91"/>
      <c r="D40" s="91"/>
      <c r="E40" s="91"/>
      <c r="F40" s="91"/>
      <c r="G40" s="18" t="s">
        <v>70</v>
      </c>
      <c r="H40" s="18" t="s">
        <v>68</v>
      </c>
      <c r="I40" s="18">
        <f>'MERCADO TUSD'!$U$37</f>
        <v>0</v>
      </c>
      <c r="J40" s="15"/>
      <c r="L40" s="13">
        <f>'TUSD BE'!$L$40*'TUSD BE'!$L$58</f>
        <v>0</v>
      </c>
      <c r="M40" s="13">
        <f>'TUSD BE'!$M$40*'TUSD BE'!$M$58</f>
        <v>-7.0555556849739687E-2</v>
      </c>
      <c r="N40" s="13">
        <f ca="1">'TUSD BE'!$N$40*'TUSD BE'!$N$58</f>
        <v>0</v>
      </c>
      <c r="O40" s="13">
        <f>'TUSD BE'!$O$40*'TUSD BE'!$O$58</f>
        <v>0</v>
      </c>
      <c r="P40" s="13">
        <f>'TUSD BE'!$P$40*'TUSD BE'!$P$58</f>
        <v>0</v>
      </c>
      <c r="Q40" s="13">
        <f>'TUSD BE'!$Q$40*'TUSD BE'!$Q$58</f>
        <v>-5.933236991611734</v>
      </c>
      <c r="R40" s="13">
        <f>'TUSD BE'!$R$40*'TUSD BE'!$R$58</f>
        <v>-0.96861079194913424</v>
      </c>
      <c r="S40" s="13">
        <f>'TUSD BE'!$R$40*'TUSD BE'!$S$58</f>
        <v>0</v>
      </c>
      <c r="T40" s="13">
        <f ca="1">SUM($L$40:$S$40)</f>
        <v>-6.9724033404106081</v>
      </c>
      <c r="U40" s="13">
        <f>'TUSD BE'!$U$40*'TUSD BE'!$U$58</f>
        <v>0</v>
      </c>
      <c r="V40" s="13">
        <f>'TUSD BE'!$V$40*'TUSD BE'!$V$58</f>
        <v>0</v>
      </c>
      <c r="W40" s="13">
        <f>'TUSD BE'!$W$40*'TUSD BE'!$W$58</f>
        <v>0</v>
      </c>
      <c r="X40" s="13">
        <f>'TUSD BE'!$X$40*'TUSD BE'!$X$58</f>
        <v>0</v>
      </c>
      <c r="Y40" s="13">
        <f>'TUSD BE'!$Y$40*'TUSD BE'!$Y$58</f>
        <v>0.97196640068363283</v>
      </c>
      <c r="Z40" s="13">
        <f>'TUSD BE'!$Z$40*'TUSD BE'!$Z$58</f>
        <v>0</v>
      </c>
      <c r="AA40" s="13">
        <f>'TUSD BE'!$AA$40*'TUSD BE'!$AA$58</f>
        <v>0</v>
      </c>
      <c r="AB40" s="13">
        <f>SUM($U$40:$AA$40)</f>
        <v>0.97196640068363283</v>
      </c>
      <c r="AC40" s="13">
        <f>'TUSD BE'!$AC$40*'TUSD BE'!$AC$58</f>
        <v>-59.241204139791542</v>
      </c>
      <c r="AD40" s="13">
        <f>SUM($AC$40:$AC$40)</f>
        <v>-59.241204139791542</v>
      </c>
      <c r="AE40" s="13">
        <f ca="1">$AO$40*$AO$55</f>
        <v>0</v>
      </c>
      <c r="AF40" s="13">
        <f ca="1">$AP$40*$AP$55</f>
        <v>0</v>
      </c>
      <c r="AG40" s="13">
        <f ca="1">SUM($AE$40:$AF$40)</f>
        <v>0</v>
      </c>
      <c r="AH40" s="13">
        <f>'TUSD BE'!$AH$40*'TUSD BE'!$AH$58</f>
        <v>1.2133654437265899</v>
      </c>
      <c r="AI40" s="13">
        <f>'TUSD BE'!$AI$40*'TUSD BE'!$AI$58</f>
        <v>0</v>
      </c>
      <c r="AJ40" s="13">
        <f ca="1">'TUSD BE'!$AJ$40*'TUSD BE'!$AJ$58</f>
        <v>0</v>
      </c>
      <c r="AK40" s="13">
        <f ca="1">'TUSD BE'!$AK$40*'TUSD BE'!$AK$58</f>
        <v>0</v>
      </c>
      <c r="AL40" s="13">
        <f ca="1">SUM($AH$40:$AK$40)</f>
        <v>1.2133654437265899</v>
      </c>
      <c r="AM40" s="13">
        <f ca="1">SUMIF($L$4:$AL$4,"SUBTOTAL",$L$40:$AL$40)</f>
        <v>-64.028275635791928</v>
      </c>
      <c r="AO40" s="20">
        <f ca="1">+'TUSD BE'!$T$40+'TUSD BE'!$AB$40+'TUSD BE'!$AD$40+'TUSD BE'!$AL$40</f>
        <v>295.34831544465993</v>
      </c>
      <c r="AP40" s="20">
        <f ca="1">+'TUSD BE'!$T$40+'TUSD BE'!$AB$40+'TUSD BE'!$AD$40+'TUSD BE'!$AL$40</f>
        <v>295.34831544465993</v>
      </c>
    </row>
    <row r="41" spans="1:42" ht="11.25" customHeight="1" x14ac:dyDescent="0.3">
      <c r="A41" s="91"/>
      <c r="B41" s="17" t="s">
        <v>23</v>
      </c>
      <c r="C41" s="17" t="s">
        <v>40</v>
      </c>
      <c r="D41" s="17" t="s">
        <v>86</v>
      </c>
      <c r="E41" s="17" t="s">
        <v>25</v>
      </c>
      <c r="F41" s="17" t="s">
        <v>25</v>
      </c>
      <c r="G41" s="18" t="s">
        <v>74</v>
      </c>
      <c r="H41" s="18" t="s">
        <v>68</v>
      </c>
      <c r="I41" s="18">
        <f>'MERCADO TUSD'!$U$38</f>
        <v>0</v>
      </c>
      <c r="J41" s="15"/>
      <c r="L41" s="13">
        <f>'TUSD BE'!$L$41*'TUSD BE'!$L$58</f>
        <v>0</v>
      </c>
      <c r="M41" s="13">
        <f>'TUSD BE'!$M$41*'TUSD BE'!$M$58</f>
        <v>-7.0555556849739687E-2</v>
      </c>
      <c r="N41" s="13">
        <f ca="1">'TUSD BE'!$N$41*'TUSD BE'!$N$58</f>
        <v>0</v>
      </c>
      <c r="O41" s="13">
        <f>'TUSD BE'!$O$41*'TUSD BE'!$O$58</f>
        <v>0</v>
      </c>
      <c r="P41" s="13">
        <f>'TUSD BE'!$P$41*'TUSD BE'!$P$58</f>
        <v>0</v>
      </c>
      <c r="Q41" s="13">
        <f>'TUSD BE'!$Q$41*'TUSD BE'!$Q$58</f>
        <v>-5.933236991611734</v>
      </c>
      <c r="R41" s="13">
        <f>'TUSD BE'!$R$41*'TUSD BE'!$R$58</f>
        <v>-0.96861079194913424</v>
      </c>
      <c r="S41" s="13">
        <f>'TUSD BE'!$R$41*'TUSD BE'!$S$58</f>
        <v>0</v>
      </c>
      <c r="T41" s="13">
        <f ca="1">SUM($L$41:$S$41)</f>
        <v>-6.9724033404106081</v>
      </c>
      <c r="U41" s="13">
        <f>'TUSD BE'!$U$41*'TUSD BE'!$U$58</f>
        <v>0</v>
      </c>
      <c r="V41" s="13">
        <f>'TUSD BE'!$V$41*'TUSD BE'!$V$58</f>
        <v>0</v>
      </c>
      <c r="W41" s="13">
        <f>'TUSD BE'!$W$41*'TUSD BE'!$W$58</f>
        <v>0</v>
      </c>
      <c r="X41" s="13">
        <f>'TUSD BE'!$X$41*'TUSD BE'!$X$58</f>
        <v>0</v>
      </c>
      <c r="Y41" s="13">
        <f>'TUSD BE'!$Y$41*'TUSD BE'!$Y$58</f>
        <v>1.6484357910641672</v>
      </c>
      <c r="Z41" s="13">
        <f>'TUSD BE'!$Z$41*'TUSD BE'!$Z$58</f>
        <v>0</v>
      </c>
      <c r="AA41" s="13">
        <f>'TUSD BE'!$AA$41*'TUSD BE'!$AA$58</f>
        <v>0</v>
      </c>
      <c r="AB41" s="13">
        <f>SUM($U$41:$AA$41)</f>
        <v>1.6484357910641672</v>
      </c>
      <c r="AC41" s="13">
        <f>'TUSD BE'!$AC$41*'TUSD BE'!$AC$58</f>
        <v>-100.408847785736</v>
      </c>
      <c r="AD41" s="13">
        <f>SUM($AC$41:$AC$41)</f>
        <v>-100.408847785736</v>
      </c>
      <c r="AE41" s="13">
        <f ca="1">$AO$41*$AO$55</f>
        <v>0</v>
      </c>
      <c r="AF41" s="13">
        <f ca="1">$AP$41*$AP$55</f>
        <v>0</v>
      </c>
      <c r="AG41" s="13">
        <f ca="1">SUM($AE$41:$AF$41)</f>
        <v>0</v>
      </c>
      <c r="AH41" s="13">
        <f>'TUSD BE'!$AH$41*'TUSD BE'!$AH$58</f>
        <v>1.2133654437265899</v>
      </c>
      <c r="AI41" s="13">
        <f>'TUSD BE'!$AI$41*'TUSD BE'!$AI$58</f>
        <v>0</v>
      </c>
      <c r="AJ41" s="13">
        <f ca="1">'TUSD BE'!$AJ$41*'TUSD BE'!$AJ$58</f>
        <v>0</v>
      </c>
      <c r="AK41" s="13">
        <f ca="1">'TUSD BE'!$AK$41*'TUSD BE'!$AK$58</f>
        <v>0</v>
      </c>
      <c r="AL41" s="13">
        <f ca="1">SUM($AH$41:$AK$41)</f>
        <v>1.2133654437265899</v>
      </c>
      <c r="AM41" s="13">
        <f ca="1">SUMIF($L$4:$AL$4,"SUBTOTAL",$L$41:$AL$41)</f>
        <v>-104.51944989135585</v>
      </c>
      <c r="AO41" s="20">
        <f ca="1">+'TUSD BE'!$T$41+'TUSD BE'!$AB$41+'TUSD BE'!$AD$41+'TUSD BE'!$AL$41</f>
        <v>415.88745245281598</v>
      </c>
      <c r="AP41" s="20">
        <f ca="1">+'TUSD BE'!$T$41+'TUSD BE'!$AB$41+'TUSD BE'!$AD$41+'TUSD BE'!$AL$41</f>
        <v>415.88745245281598</v>
      </c>
    </row>
    <row r="42" spans="1:42" ht="11.25" customHeight="1" x14ac:dyDescent="0.3">
      <c r="A42" s="91"/>
      <c r="B42" s="91" t="s">
        <v>84</v>
      </c>
      <c r="C42" s="91" t="s">
        <v>40</v>
      </c>
      <c r="D42" s="17" t="s">
        <v>25</v>
      </c>
      <c r="E42" s="17" t="s">
        <v>25</v>
      </c>
      <c r="F42" s="17" t="s">
        <v>25</v>
      </c>
      <c r="G42" s="18" t="s">
        <v>74</v>
      </c>
      <c r="H42" s="18" t="s">
        <v>68</v>
      </c>
      <c r="I42" s="18">
        <f>'MERCADO TUSD'!$U$39</f>
        <v>0</v>
      </c>
      <c r="J42" s="15"/>
      <c r="L42" s="13">
        <f>'TUSD BE'!$L$42*'TUSD BE'!$L$58</f>
        <v>0</v>
      </c>
      <c r="M42" s="13">
        <f>'TUSD BE'!$M$42*'TUSD BE'!$M$58</f>
        <v>-7.0555556849739687E-2</v>
      </c>
      <c r="N42" s="13">
        <f ca="1">'TUSD BE'!$N$42*'TUSD BE'!$N$58</f>
        <v>0</v>
      </c>
      <c r="O42" s="13">
        <f>'TUSD BE'!$O$42*'TUSD BE'!$O$58</f>
        <v>0</v>
      </c>
      <c r="P42" s="13">
        <f>'TUSD BE'!$P$42*'TUSD BE'!$P$58</f>
        <v>0</v>
      </c>
      <c r="Q42" s="13">
        <f>'TUSD BE'!$Q$42*'TUSD BE'!$Q$58</f>
        <v>-5.933236991611734</v>
      </c>
      <c r="R42" s="13">
        <f>'TUSD BE'!$R$42*'TUSD BE'!$R$58</f>
        <v>-0.96861079194913424</v>
      </c>
      <c r="S42" s="13">
        <f>'TUSD BE'!$R$42*'TUSD BE'!$S$58</f>
        <v>0</v>
      </c>
      <c r="T42" s="13">
        <f ca="1">SUM($L$42:$S$42)</f>
        <v>-6.9724033404106081</v>
      </c>
      <c r="U42" s="13">
        <f>'TUSD BE'!$U$42*'TUSD BE'!$U$58</f>
        <v>0</v>
      </c>
      <c r="V42" s="13">
        <f>'TUSD BE'!$V$42*'TUSD BE'!$V$58</f>
        <v>0</v>
      </c>
      <c r="W42" s="13">
        <f>'TUSD BE'!$W$42*'TUSD BE'!$W$58</f>
        <v>0</v>
      </c>
      <c r="X42" s="13">
        <f>'TUSD BE'!$X$42*'TUSD BE'!$X$58</f>
        <v>0</v>
      </c>
      <c r="Y42" s="13">
        <f>'TUSD BE'!$Y$42*'TUSD BE'!$Y$58</f>
        <v>1.6484357910641672</v>
      </c>
      <c r="Z42" s="13">
        <f>'TUSD BE'!$Z$42*'TUSD BE'!$Z$58</f>
        <v>0</v>
      </c>
      <c r="AA42" s="13">
        <f>'TUSD BE'!$AA$42*'TUSD BE'!$AA$58</f>
        <v>0</v>
      </c>
      <c r="AB42" s="13">
        <f>SUM($U$42:$AA$42)</f>
        <v>1.6484357910641672</v>
      </c>
      <c r="AC42" s="13">
        <f>'TUSD BE'!$AC$42*'TUSD BE'!$AC$58</f>
        <v>-100.408847785736</v>
      </c>
      <c r="AD42" s="13">
        <f>SUM($AC$42:$AC$42)</f>
        <v>-100.408847785736</v>
      </c>
      <c r="AE42" s="13">
        <f ca="1">$AO$42*$AO$55</f>
        <v>0</v>
      </c>
      <c r="AF42" s="13">
        <f ca="1">$AP$42*$AP$55</f>
        <v>0</v>
      </c>
      <c r="AG42" s="13">
        <f ca="1">SUM($AE$42:$AF$42)</f>
        <v>0</v>
      </c>
      <c r="AH42" s="13">
        <f>'TUSD BE'!$AH$42*'TUSD BE'!$AH$58</f>
        <v>1.2133654437265899</v>
      </c>
      <c r="AI42" s="13">
        <f>'TUSD BE'!$AI$42*'TUSD BE'!$AI$58</f>
        <v>0</v>
      </c>
      <c r="AJ42" s="13">
        <f ca="1">'TUSD BE'!$AJ$42*'TUSD BE'!$AJ$58</f>
        <v>0</v>
      </c>
      <c r="AK42" s="13">
        <f ca="1">'TUSD BE'!$AK$42*'TUSD BE'!$AK$58</f>
        <v>0</v>
      </c>
      <c r="AL42" s="13">
        <f ca="1">SUM($AH$42:$AK$42)</f>
        <v>1.2133654437265899</v>
      </c>
      <c r="AM42" s="13">
        <f ca="1">SUMIF($L$4:$AL$4,"SUBTOTAL",$L$42:$AL$42)</f>
        <v>-104.51944989135585</v>
      </c>
      <c r="AO42" s="20">
        <f ca="1">+'TUSD BE'!$T$42+'TUSD BE'!$AB$42+'TUSD BE'!$AD$42+'TUSD BE'!$AL$42</f>
        <v>415.88745245281598</v>
      </c>
      <c r="AP42" s="20">
        <f ca="1">+'TUSD BE'!$T$42+'TUSD BE'!$AB$42+'TUSD BE'!$AD$42+'TUSD BE'!$AL$42</f>
        <v>415.88745245281598</v>
      </c>
    </row>
    <row r="43" spans="1:42" ht="11.25" customHeight="1" x14ac:dyDescent="0.3">
      <c r="A43" s="91"/>
      <c r="B43" s="91"/>
      <c r="C43" s="91"/>
      <c r="D43" s="17" t="s">
        <v>85</v>
      </c>
      <c r="E43" s="17" t="s">
        <v>25</v>
      </c>
      <c r="F43" s="17" t="s">
        <v>25</v>
      </c>
      <c r="G43" s="18" t="s">
        <v>74</v>
      </c>
      <c r="H43" s="18" t="s">
        <v>68</v>
      </c>
      <c r="I43" s="18">
        <f>'MERCADO TUSD'!$U$40</f>
        <v>0</v>
      </c>
      <c r="J43" s="15"/>
      <c r="L43" s="13">
        <f>'TUSD BE'!$L$43*'TUSD BE'!$L$58</f>
        <v>0</v>
      </c>
      <c r="M43" s="13">
        <f>'TUSD BE'!$M$43*'TUSD BE'!$M$58</f>
        <v>-7.0555556849739687E-2</v>
      </c>
      <c r="N43" s="13">
        <f ca="1">'TUSD BE'!$N$43*'TUSD BE'!$N$58</f>
        <v>0</v>
      </c>
      <c r="O43" s="13">
        <f>'TUSD BE'!$O$43*'TUSD BE'!$O$58</f>
        <v>0</v>
      </c>
      <c r="P43" s="13">
        <f>'TUSD BE'!$P$43*'TUSD BE'!$P$58</f>
        <v>0</v>
      </c>
      <c r="Q43" s="13">
        <f>'TUSD BE'!$Q$43*'TUSD BE'!$Q$58</f>
        <v>-5.933236991611734</v>
      </c>
      <c r="R43" s="13">
        <f>'TUSD BE'!$R$43*'TUSD BE'!$R$58</f>
        <v>-0.96861079194913424</v>
      </c>
      <c r="S43" s="13">
        <f>'TUSD BE'!$R$43*'TUSD BE'!$S$58</f>
        <v>0</v>
      </c>
      <c r="T43" s="13">
        <f ca="1">SUM($L$43:$S$43)</f>
        <v>-6.9724033404106081</v>
      </c>
      <c r="U43" s="13">
        <f>'TUSD BE'!$U$43*'TUSD BE'!$U$58</f>
        <v>0</v>
      </c>
      <c r="V43" s="13">
        <f>'TUSD BE'!$V$43*'TUSD BE'!$V$58</f>
        <v>0</v>
      </c>
      <c r="W43" s="13">
        <f>'TUSD BE'!$W$43*'TUSD BE'!$W$58</f>
        <v>0</v>
      </c>
      <c r="X43" s="13">
        <f>'TUSD BE'!$X$43*'TUSD BE'!$X$58</f>
        <v>0</v>
      </c>
      <c r="Y43" s="13">
        <f>'TUSD BE'!$Y$43*'TUSD BE'!$Y$58</f>
        <v>1.6484357910641672</v>
      </c>
      <c r="Z43" s="13">
        <f>'TUSD BE'!$Z$43*'TUSD BE'!$Z$58</f>
        <v>0</v>
      </c>
      <c r="AA43" s="13">
        <f>'TUSD BE'!$AA$43*'TUSD BE'!$AA$58</f>
        <v>0</v>
      </c>
      <c r="AB43" s="13">
        <f>SUM($U$43:$AA$43)</f>
        <v>1.6484357910641672</v>
      </c>
      <c r="AC43" s="13">
        <f>'TUSD BE'!$AC$43*'TUSD BE'!$AC$58</f>
        <v>-100.408847785736</v>
      </c>
      <c r="AD43" s="13">
        <f>SUM($AC$43:$AC$43)</f>
        <v>-100.408847785736</v>
      </c>
      <c r="AE43" s="13">
        <f ca="1">$AO$43*$AO$55</f>
        <v>0</v>
      </c>
      <c r="AF43" s="13">
        <f ca="1">$AP$43*$AP$55</f>
        <v>0</v>
      </c>
      <c r="AG43" s="13">
        <f ca="1">SUM($AE$43:$AF$43)</f>
        <v>0</v>
      </c>
      <c r="AH43" s="13">
        <f>'TUSD BE'!$AH$43*'TUSD BE'!$AH$58</f>
        <v>1.2133654437265899</v>
      </c>
      <c r="AI43" s="13">
        <f>'TUSD BE'!$AI$43*'TUSD BE'!$AI$58</f>
        <v>0</v>
      </c>
      <c r="AJ43" s="13">
        <f ca="1">'TUSD BE'!$AJ$43*'TUSD BE'!$AJ$58</f>
        <v>0</v>
      </c>
      <c r="AK43" s="13">
        <f ca="1">'TUSD BE'!$AK$43*'TUSD BE'!$AK$58</f>
        <v>0</v>
      </c>
      <c r="AL43" s="13">
        <f ca="1">SUM($AH$43:$AK$43)</f>
        <v>1.2133654437265899</v>
      </c>
      <c r="AM43" s="13">
        <f ca="1">SUMIF($L$4:$AL$4,"SUBTOTAL",$L$43:$AL$43)</f>
        <v>-104.51944989135585</v>
      </c>
      <c r="AO43" s="20">
        <f ca="1">+'TUSD BE'!$T$43+'TUSD BE'!$AB$43+'TUSD BE'!$AD$43+'TUSD BE'!$AL$43</f>
        <v>415.88745245281598</v>
      </c>
      <c r="AP43" s="20">
        <f ca="1">+'TUSD BE'!$T$43+'TUSD BE'!$AB$43+'TUSD BE'!$AD$43+'TUSD BE'!$AL$43</f>
        <v>415.88745245281598</v>
      </c>
    </row>
    <row r="44" spans="1:42" ht="11.25" customHeight="1" x14ac:dyDescent="0.3">
      <c r="A44" s="91"/>
      <c r="B44" s="91"/>
      <c r="C44" s="91"/>
      <c r="D44" s="17" t="s">
        <v>86</v>
      </c>
      <c r="E44" s="17" t="s">
        <v>25</v>
      </c>
      <c r="F44" s="17" t="s">
        <v>25</v>
      </c>
      <c r="G44" s="18" t="s">
        <v>74</v>
      </c>
      <c r="H44" s="18" t="s">
        <v>68</v>
      </c>
      <c r="I44" s="18">
        <f>'MERCADO TUSD'!$U$41</f>
        <v>0</v>
      </c>
      <c r="J44" s="15"/>
      <c r="L44" s="13">
        <f>'TUSD BE'!$L$44*'TUSD BE'!$L$58</f>
        <v>0</v>
      </c>
      <c r="M44" s="13">
        <f>'TUSD BE'!$M$44*'TUSD BE'!$M$58</f>
        <v>-7.0555556849739687E-2</v>
      </c>
      <c r="N44" s="13">
        <f ca="1">'TUSD BE'!$N$44*'TUSD BE'!$N$58</f>
        <v>0</v>
      </c>
      <c r="O44" s="13">
        <f>'TUSD BE'!$O$44*'TUSD BE'!$O$58</f>
        <v>0</v>
      </c>
      <c r="P44" s="13">
        <f>'TUSD BE'!$P$44*'TUSD BE'!$P$58</f>
        <v>0</v>
      </c>
      <c r="Q44" s="13">
        <f>'TUSD BE'!$Q$44*'TUSD BE'!$Q$58</f>
        <v>-5.933236991611734</v>
      </c>
      <c r="R44" s="13">
        <f>'TUSD BE'!$R$44*'TUSD BE'!$R$58</f>
        <v>-0.96861079194913424</v>
      </c>
      <c r="S44" s="13">
        <f>'TUSD BE'!$R$44*'TUSD BE'!$S$58</f>
        <v>0</v>
      </c>
      <c r="T44" s="13">
        <f ca="1">SUM($L$44:$S$44)</f>
        <v>-6.9724033404106081</v>
      </c>
      <c r="U44" s="13">
        <f>'TUSD BE'!$U$44*'TUSD BE'!$U$58</f>
        <v>0</v>
      </c>
      <c r="V44" s="13">
        <f>'TUSD BE'!$V$44*'TUSD BE'!$V$58</f>
        <v>0</v>
      </c>
      <c r="W44" s="13">
        <f>'TUSD BE'!$W$44*'TUSD BE'!$W$58</f>
        <v>0</v>
      </c>
      <c r="X44" s="13">
        <f>'TUSD BE'!$X$44*'TUSD BE'!$X$58</f>
        <v>0</v>
      </c>
      <c r="Y44" s="13">
        <f>'TUSD BE'!$Y$44*'TUSD BE'!$Y$58</f>
        <v>1.6484357910641672</v>
      </c>
      <c r="Z44" s="13">
        <f>'TUSD BE'!$Z$44*'TUSD BE'!$Z$58</f>
        <v>0</v>
      </c>
      <c r="AA44" s="13">
        <f>'TUSD BE'!$AA$44*'TUSD BE'!$AA$58</f>
        <v>0</v>
      </c>
      <c r="AB44" s="13">
        <f>SUM($U$44:$AA$44)</f>
        <v>1.6484357910641672</v>
      </c>
      <c r="AC44" s="13">
        <f>'TUSD BE'!$AC$44*'TUSD BE'!$AC$58</f>
        <v>-100.408847785736</v>
      </c>
      <c r="AD44" s="13">
        <f>SUM($AC$44:$AC$44)</f>
        <v>-100.408847785736</v>
      </c>
      <c r="AE44" s="13">
        <f ca="1">$AO$44*$AO$55</f>
        <v>0</v>
      </c>
      <c r="AF44" s="13">
        <f ca="1">$AP$44*$AP$55</f>
        <v>0</v>
      </c>
      <c r="AG44" s="13">
        <f ca="1">SUM($AE$44:$AF$44)</f>
        <v>0</v>
      </c>
      <c r="AH44" s="13">
        <f>'TUSD BE'!$AH$44*'TUSD BE'!$AH$58</f>
        <v>1.2133654437265899</v>
      </c>
      <c r="AI44" s="13">
        <f>'TUSD BE'!$AI$44*'TUSD BE'!$AI$58</f>
        <v>0</v>
      </c>
      <c r="AJ44" s="13">
        <f ca="1">'TUSD BE'!$AJ$44*'TUSD BE'!$AJ$58</f>
        <v>0</v>
      </c>
      <c r="AK44" s="13">
        <f ca="1">'TUSD BE'!$AK$44*'TUSD BE'!$AK$58</f>
        <v>0</v>
      </c>
      <c r="AL44" s="13">
        <f ca="1">SUM($AH$44:$AK$44)</f>
        <v>1.2133654437265899</v>
      </c>
      <c r="AM44" s="13">
        <f ca="1">SUMIF($L$4:$AL$4,"SUBTOTAL",$L$44:$AL$44)</f>
        <v>-104.51944989135585</v>
      </c>
      <c r="AO44" s="20">
        <f ca="1">+'TUSD BE'!$T$44+'TUSD BE'!$AB$44+'TUSD BE'!$AD$44+'TUSD BE'!$AL$44</f>
        <v>415.88745245281598</v>
      </c>
      <c r="AP44" s="20">
        <f ca="1">+'TUSD BE'!$T$44+'TUSD BE'!$AB$44+'TUSD BE'!$AD$44+'TUSD BE'!$AL$44</f>
        <v>415.88745245281598</v>
      </c>
    </row>
    <row r="45" spans="1:42" ht="11.25" customHeight="1" x14ac:dyDescent="0.3">
      <c r="A45" s="91" t="s">
        <v>31</v>
      </c>
      <c r="B45" s="91" t="s">
        <v>82</v>
      </c>
      <c r="C45" s="91" t="s">
        <v>25</v>
      </c>
      <c r="D45" s="91" t="s">
        <v>25</v>
      </c>
      <c r="E45" s="91" t="s">
        <v>25</v>
      </c>
      <c r="F45" s="91" t="s">
        <v>25</v>
      </c>
      <c r="G45" s="18" t="s">
        <v>69</v>
      </c>
      <c r="H45" s="18" t="s">
        <v>68</v>
      </c>
      <c r="I45" s="18">
        <f>'MERCADO TUSD'!$U$42</f>
        <v>0</v>
      </c>
      <c r="J45" s="15"/>
      <c r="L45" s="13">
        <f>'TUSD BE'!$L$45*'TUSD BE'!$L$58</f>
        <v>0</v>
      </c>
      <c r="M45" s="13">
        <f>'TUSD BE'!$M$45*'TUSD BE'!$M$58</f>
        <v>-7.0555556849739687E-2</v>
      </c>
      <c r="N45" s="13">
        <f ca="1">'TUSD BE'!$N$45*'TUSD BE'!$N$58</f>
        <v>0</v>
      </c>
      <c r="O45" s="13">
        <f>'TUSD BE'!$O$45*'TUSD BE'!$O$58</f>
        <v>0</v>
      </c>
      <c r="P45" s="13">
        <f>'TUSD BE'!$P$45*'TUSD BE'!$P$58</f>
        <v>0</v>
      </c>
      <c r="Q45" s="13">
        <f>'TUSD BE'!$Q$45*'TUSD BE'!$Q$58</f>
        <v>-5.933236991611734</v>
      </c>
      <c r="R45" s="13">
        <f>'TUSD BE'!$R$45*'TUSD BE'!$R$58</f>
        <v>-0.96861079194913424</v>
      </c>
      <c r="S45" s="13">
        <f>'TUSD BE'!$R$45*'TUSD BE'!$S$58</f>
        <v>0</v>
      </c>
      <c r="T45" s="13">
        <f ca="1">SUM($L$45:$S$45)</f>
        <v>-6.9724033404106081</v>
      </c>
      <c r="U45" s="13">
        <f>'TUSD BE'!$U$45*'TUSD BE'!$U$58</f>
        <v>0</v>
      </c>
      <c r="V45" s="13">
        <f>'TUSD BE'!$V$45*'TUSD BE'!$V$58</f>
        <v>0</v>
      </c>
      <c r="W45" s="13">
        <f>'TUSD BE'!$W$45*'TUSD BE'!$W$58</f>
        <v>0</v>
      </c>
      <c r="X45" s="13">
        <f>'TUSD BE'!$X$45*'TUSD BE'!$X$58</f>
        <v>0</v>
      </c>
      <c r="Y45" s="13">
        <f>'TUSD BE'!$Y$45*'TUSD BE'!$Y$58</f>
        <v>5.6885251664189331</v>
      </c>
      <c r="Z45" s="13">
        <f>'TUSD BE'!$Z$45*'TUSD BE'!$Z$58</f>
        <v>0</v>
      </c>
      <c r="AA45" s="13">
        <f>'TUSD BE'!$AA$45*'TUSD BE'!$AA$58</f>
        <v>0</v>
      </c>
      <c r="AB45" s="13">
        <f>SUM($U$45:$AA$45)</f>
        <v>5.6885251664189331</v>
      </c>
      <c r="AC45" s="13">
        <f>'TUSD BE'!$AC$45*'TUSD BE'!$AC$58</f>
        <v>-346.41044459182569</v>
      </c>
      <c r="AD45" s="13">
        <f>SUM($AC$45:$AC$45)</f>
        <v>-346.41044459182569</v>
      </c>
      <c r="AE45" s="13">
        <f ca="1">$AO$45*$AO$55</f>
        <v>0</v>
      </c>
      <c r="AF45" s="13">
        <f ca="1">$AP$45*$AP$55</f>
        <v>0</v>
      </c>
      <c r="AG45" s="13">
        <f ca="1">SUM($AE$45:$AF$45)</f>
        <v>0</v>
      </c>
      <c r="AH45" s="13">
        <f>'TUSD BE'!$AH$45*'TUSD BE'!$AH$58</f>
        <v>1.2133654437265899</v>
      </c>
      <c r="AI45" s="13">
        <f>'TUSD BE'!$AI$45*'TUSD BE'!$AI$58</f>
        <v>0</v>
      </c>
      <c r="AJ45" s="13">
        <f ca="1">'TUSD BE'!$AJ$45*'TUSD BE'!$AJ$58</f>
        <v>0</v>
      </c>
      <c r="AK45" s="13">
        <f ca="1">'TUSD BE'!$AK$45*'TUSD BE'!$AK$58</f>
        <v>0</v>
      </c>
      <c r="AL45" s="13">
        <f ca="1">SUM($AH$45:$AK$45)</f>
        <v>1.2133654437265899</v>
      </c>
      <c r="AM45" s="13">
        <f ca="1">SUMIF($L$4:$AL$4,"SUBTOTAL",$L$45:$AL$45)</f>
        <v>-346.48095732209077</v>
      </c>
      <c r="AO45" s="20">
        <f ca="1">+'TUSD BE'!$T$45+'TUSD BE'!$AB$45+'TUSD BE'!$AD$45+'TUSD BE'!$AL$45</f>
        <v>1136.0472351967221</v>
      </c>
      <c r="AP45" s="20">
        <f ca="1">+'TUSD BE'!$T$45+'TUSD BE'!$AB$45+'TUSD BE'!$AD$45+'TUSD BE'!$AL$45</f>
        <v>1136.0472351967221</v>
      </c>
    </row>
    <row r="46" spans="1:42" ht="11.25" customHeight="1" x14ac:dyDescent="0.3">
      <c r="A46" s="91"/>
      <c r="B46" s="91"/>
      <c r="C46" s="91"/>
      <c r="D46" s="91"/>
      <c r="E46" s="91"/>
      <c r="F46" s="91"/>
      <c r="G46" s="18" t="s">
        <v>80</v>
      </c>
      <c r="H46" s="18" t="s">
        <v>68</v>
      </c>
      <c r="I46" s="18">
        <f>'MERCADO TUSD'!$U$43</f>
        <v>0</v>
      </c>
      <c r="J46" s="15"/>
      <c r="L46" s="13">
        <f>'TUSD BE'!$L$46*'TUSD BE'!$L$58</f>
        <v>0</v>
      </c>
      <c r="M46" s="13">
        <f>'TUSD BE'!$M$46*'TUSD BE'!$M$58</f>
        <v>-7.0555556849739687E-2</v>
      </c>
      <c r="N46" s="13">
        <f ca="1">'TUSD BE'!$N$46*'TUSD BE'!$N$58</f>
        <v>0</v>
      </c>
      <c r="O46" s="13">
        <f>'TUSD BE'!$O$46*'TUSD BE'!$O$58</f>
        <v>0</v>
      </c>
      <c r="P46" s="13">
        <f>'TUSD BE'!$P$46*'TUSD BE'!$P$58</f>
        <v>0</v>
      </c>
      <c r="Q46" s="13">
        <f>'TUSD BE'!$Q$46*'TUSD BE'!$Q$58</f>
        <v>-5.933236991611734</v>
      </c>
      <c r="R46" s="13">
        <f>'TUSD BE'!$R$46*'TUSD BE'!$R$58</f>
        <v>-0.96861079194913424</v>
      </c>
      <c r="S46" s="13">
        <f>'TUSD BE'!$R$46*'TUSD BE'!$S$58</f>
        <v>0</v>
      </c>
      <c r="T46" s="13">
        <f ca="1">SUM($L$46:$S$46)</f>
        <v>-6.9724033404106081</v>
      </c>
      <c r="U46" s="13">
        <f>'TUSD BE'!$U$46*'TUSD BE'!$U$58</f>
        <v>0</v>
      </c>
      <c r="V46" s="13">
        <f>'TUSD BE'!$V$46*'TUSD BE'!$V$58</f>
        <v>0</v>
      </c>
      <c r="W46" s="13">
        <f>'TUSD BE'!$W$46*'TUSD BE'!$W$58</f>
        <v>0</v>
      </c>
      <c r="X46" s="13">
        <f>'TUSD BE'!$X$46*'TUSD BE'!$X$58</f>
        <v>0</v>
      </c>
      <c r="Y46" s="13">
        <f>'TUSD BE'!$Y$46*'TUSD BE'!$Y$58</f>
        <v>3.4124640010897491</v>
      </c>
      <c r="Z46" s="13">
        <f>'TUSD BE'!$Z$46*'TUSD BE'!$Z$58</f>
        <v>0</v>
      </c>
      <c r="AA46" s="13">
        <f>'TUSD BE'!$AA$46*'TUSD BE'!$AA$58</f>
        <v>0</v>
      </c>
      <c r="AB46" s="13">
        <f>SUM($U$46:$AA$46)</f>
        <v>3.4124640010897491</v>
      </c>
      <c r="AC46" s="13">
        <f>'TUSD BE'!$AC$46*'TUSD BE'!$AC$58</f>
        <v>-207.84624668785455</v>
      </c>
      <c r="AD46" s="13">
        <f>SUM($AC$46:$AC$46)</f>
        <v>-207.84624668785455</v>
      </c>
      <c r="AE46" s="13">
        <f ca="1">$AO$46*$AO$55</f>
        <v>0</v>
      </c>
      <c r="AF46" s="13">
        <f ca="1">$AP$46*$AP$55</f>
        <v>0</v>
      </c>
      <c r="AG46" s="13">
        <f ca="1">SUM($AE$46:$AF$46)</f>
        <v>0</v>
      </c>
      <c r="AH46" s="13">
        <f>'TUSD BE'!$AH$46*'TUSD BE'!$AH$58</f>
        <v>1.2133654437265899</v>
      </c>
      <c r="AI46" s="13">
        <f>'TUSD BE'!$AI$46*'TUSD BE'!$AI$58</f>
        <v>0</v>
      </c>
      <c r="AJ46" s="13">
        <f ca="1">'TUSD BE'!$AJ$46*'TUSD BE'!$AJ$58</f>
        <v>0</v>
      </c>
      <c r="AK46" s="13">
        <f ca="1">'TUSD BE'!$AK$46*'TUSD BE'!$AK$58</f>
        <v>0</v>
      </c>
      <c r="AL46" s="13">
        <f ca="1">SUM($AH$46:$AK$46)</f>
        <v>1.2133654437265899</v>
      </c>
      <c r="AM46" s="13">
        <f ca="1">SUMIF($L$4:$AL$4,"SUBTOTAL",$L$46:$AL$46)</f>
        <v>-210.19282058344882</v>
      </c>
      <c r="AO46" s="20">
        <f ca="1">+'TUSD BE'!$T$46+'TUSD BE'!$AB$46+'TUSD BE'!$AD$46+'TUSD BE'!$AL$46</f>
        <v>730.380812606669</v>
      </c>
      <c r="AP46" s="20">
        <f ca="1">+'TUSD BE'!$T$46+'TUSD BE'!$AB$46+'TUSD BE'!$AD$46+'TUSD BE'!$AL$46</f>
        <v>730.380812606669</v>
      </c>
    </row>
    <row r="47" spans="1:42" ht="11.25" customHeight="1" x14ac:dyDescent="0.3">
      <c r="A47" s="91"/>
      <c r="B47" s="91"/>
      <c r="C47" s="91"/>
      <c r="D47" s="91"/>
      <c r="E47" s="91"/>
      <c r="F47" s="91"/>
      <c r="G47" s="18" t="s">
        <v>70</v>
      </c>
      <c r="H47" s="18" t="s">
        <v>68</v>
      </c>
      <c r="I47" s="18">
        <f>'MERCADO TUSD'!$U$44</f>
        <v>0</v>
      </c>
      <c r="J47" s="15"/>
      <c r="L47" s="13">
        <f>'TUSD BE'!$L$47*'TUSD BE'!$L$58</f>
        <v>0</v>
      </c>
      <c r="M47" s="13">
        <f>'TUSD BE'!$M$47*'TUSD BE'!$M$58</f>
        <v>-7.0555556849739687E-2</v>
      </c>
      <c r="N47" s="13">
        <f ca="1">'TUSD BE'!$N$47*'TUSD BE'!$N$58</f>
        <v>0</v>
      </c>
      <c r="O47" s="13">
        <f>'TUSD BE'!$O$47*'TUSD BE'!$O$58</f>
        <v>0</v>
      </c>
      <c r="P47" s="13">
        <f>'TUSD BE'!$P$47*'TUSD BE'!$P$58</f>
        <v>0</v>
      </c>
      <c r="Q47" s="13">
        <f>'TUSD BE'!$Q$47*'TUSD BE'!$Q$58</f>
        <v>-5.933236991611734</v>
      </c>
      <c r="R47" s="13">
        <f>'TUSD BE'!$R$47*'TUSD BE'!$R$58</f>
        <v>-0.96861079194913424</v>
      </c>
      <c r="S47" s="13">
        <f>'TUSD BE'!$R$47*'TUSD BE'!$S$58</f>
        <v>0</v>
      </c>
      <c r="T47" s="13">
        <f ca="1">SUM($L$47:$S$47)</f>
        <v>-6.9724033404106081</v>
      </c>
      <c r="U47" s="13">
        <f>'TUSD BE'!$U$47*'TUSD BE'!$U$58</f>
        <v>0</v>
      </c>
      <c r="V47" s="13">
        <f>'TUSD BE'!$V$47*'TUSD BE'!$V$58</f>
        <v>0</v>
      </c>
      <c r="W47" s="13">
        <f>'TUSD BE'!$W$47*'TUSD BE'!$W$58</f>
        <v>0</v>
      </c>
      <c r="X47" s="13">
        <f>'TUSD BE'!$X$47*'TUSD BE'!$X$58</f>
        <v>0</v>
      </c>
      <c r="Y47" s="13">
        <f>'TUSD BE'!$Y$47*'TUSD BE'!$Y$58</f>
        <v>1.1372154653917148</v>
      </c>
      <c r="Z47" s="13">
        <f>'TUSD BE'!$Z$47*'TUSD BE'!$Z$58</f>
        <v>0</v>
      </c>
      <c r="AA47" s="13">
        <f>'TUSD BE'!$AA$47*'TUSD BE'!$AA$58</f>
        <v>0</v>
      </c>
      <c r="AB47" s="13">
        <f>SUM($U$47:$AA$47)</f>
        <v>1.1372154653917148</v>
      </c>
      <c r="AC47" s="13">
        <f>'TUSD BE'!$AC$47*'TUSD BE'!$AC$58</f>
        <v>-69.282149120087752</v>
      </c>
      <c r="AD47" s="13">
        <f>SUM($AC$47:$AC$47)</f>
        <v>-69.282149120087752</v>
      </c>
      <c r="AE47" s="13">
        <f ca="1">$AO$47*$AO$55</f>
        <v>0</v>
      </c>
      <c r="AF47" s="13">
        <f ca="1">$AP$47*$AP$55</f>
        <v>0</v>
      </c>
      <c r="AG47" s="13">
        <f ca="1">SUM($AE$47:$AF$47)</f>
        <v>0</v>
      </c>
      <c r="AH47" s="13">
        <f>'TUSD BE'!$AH$47*'TUSD BE'!$AH$58</f>
        <v>1.2133654437265899</v>
      </c>
      <c r="AI47" s="13">
        <f>'TUSD BE'!$AI$47*'TUSD BE'!$AI$58</f>
        <v>0</v>
      </c>
      <c r="AJ47" s="13">
        <f ca="1">'TUSD BE'!$AJ$47*'TUSD BE'!$AJ$58</f>
        <v>0</v>
      </c>
      <c r="AK47" s="13">
        <f ca="1">'TUSD BE'!$AK$47*'TUSD BE'!$AK$58</f>
        <v>0</v>
      </c>
      <c r="AL47" s="13">
        <f ca="1">SUM($AH$47:$AK$47)</f>
        <v>1.2133654437265899</v>
      </c>
      <c r="AM47" s="13">
        <f ca="1">SUMIF($L$4:$AL$4,"SUBTOTAL",$L$47:$AL$47)</f>
        <v>-73.903971551380053</v>
      </c>
      <c r="AO47" s="20">
        <f ca="1">+'TUSD BE'!$T$47+'TUSD BE'!$AB$47+'TUSD BE'!$AD$47+'TUSD BE'!$AL$47</f>
        <v>324.76372734650886</v>
      </c>
      <c r="AP47" s="20">
        <f ca="1">+'TUSD BE'!$T$47+'TUSD BE'!$AB$47+'TUSD BE'!$AD$47+'TUSD BE'!$AL$47</f>
        <v>324.76372734650886</v>
      </c>
    </row>
    <row r="48" spans="1:42" ht="11.25" customHeight="1" x14ac:dyDescent="0.3">
      <c r="A48" s="91"/>
      <c r="B48" s="17" t="s">
        <v>23</v>
      </c>
      <c r="C48" s="17" t="s">
        <v>25</v>
      </c>
      <c r="D48" s="17" t="s">
        <v>25</v>
      </c>
      <c r="E48" s="17" t="s">
        <v>25</v>
      </c>
      <c r="F48" s="17" t="s">
        <v>25</v>
      </c>
      <c r="G48" s="18" t="s">
        <v>74</v>
      </c>
      <c r="H48" s="18" t="s">
        <v>68</v>
      </c>
      <c r="I48" s="18">
        <f>'MERCADO TUSD'!$U$45</f>
        <v>321.71000000000004</v>
      </c>
      <c r="J48" s="15"/>
      <c r="L48" s="13">
        <f>'TUSD BE'!$L$48*'TUSD BE'!$L$58</f>
        <v>0</v>
      </c>
      <c r="M48" s="13">
        <f>'TUSD BE'!$M$48*'TUSD BE'!$M$58</f>
        <v>-7.0555556849739687E-2</v>
      </c>
      <c r="N48" s="13">
        <f ca="1">'TUSD BE'!$N$48*'TUSD BE'!$N$58</f>
        <v>0</v>
      </c>
      <c r="O48" s="13">
        <f>'TUSD BE'!$O$48*'TUSD BE'!$O$58</f>
        <v>0</v>
      </c>
      <c r="P48" s="13">
        <f>'TUSD BE'!$P$48*'TUSD BE'!$P$58</f>
        <v>0</v>
      </c>
      <c r="Q48" s="13">
        <f>'TUSD BE'!$Q$48*'TUSD BE'!$Q$58</f>
        <v>-5.933236991611734</v>
      </c>
      <c r="R48" s="13">
        <f>'TUSD BE'!$R$48*'TUSD BE'!$R$58</f>
        <v>-0.96861079194913424</v>
      </c>
      <c r="S48" s="13">
        <f>'TUSD BE'!$R$48*'TUSD BE'!$S$58</f>
        <v>0</v>
      </c>
      <c r="T48" s="13">
        <f ca="1">SUM($L$48:$S$48)</f>
        <v>-6.9724033404106081</v>
      </c>
      <c r="U48" s="13">
        <f>'TUSD BE'!$U$48*'TUSD BE'!$U$58</f>
        <v>0</v>
      </c>
      <c r="V48" s="13">
        <f>'TUSD BE'!$V$48*'TUSD BE'!$V$58</f>
        <v>0</v>
      </c>
      <c r="W48" s="13">
        <f>'TUSD BE'!$W$48*'TUSD BE'!$W$58</f>
        <v>0</v>
      </c>
      <c r="X48" s="13">
        <f>'TUSD BE'!$X$48*'TUSD BE'!$X$58</f>
        <v>0</v>
      </c>
      <c r="Y48" s="13">
        <f>'TUSD BE'!$Y$48*'TUSD BE'!$Y$58</f>
        <v>1.6484357910641672</v>
      </c>
      <c r="Z48" s="13">
        <f>'TUSD BE'!$Z$48*'TUSD BE'!$Z$58</f>
        <v>0</v>
      </c>
      <c r="AA48" s="13">
        <f>'TUSD BE'!$AA$48*'TUSD BE'!$AA$58</f>
        <v>0</v>
      </c>
      <c r="AB48" s="13">
        <f>SUM($U$48:$AA$48)</f>
        <v>1.6484357910641672</v>
      </c>
      <c r="AC48" s="13">
        <f>'TUSD BE'!$AC$48*'TUSD BE'!$AC$58</f>
        <v>-100.408847785736</v>
      </c>
      <c r="AD48" s="13">
        <f>SUM($AC$48:$AC$48)</f>
        <v>-100.408847785736</v>
      </c>
      <c r="AE48" s="13">
        <f ca="1">$AO$48*$AO$55</f>
        <v>0</v>
      </c>
      <c r="AF48" s="13">
        <f ca="1">$AP$48*$AP$55</f>
        <v>0</v>
      </c>
      <c r="AG48" s="13">
        <f ca="1">SUM($AE$48:$AF$48)</f>
        <v>0</v>
      </c>
      <c r="AH48" s="13">
        <f>'TUSD BE'!$AH$48*'TUSD BE'!$AH$58</f>
        <v>1.2133654437265899</v>
      </c>
      <c r="AI48" s="13">
        <f>'TUSD BE'!$AI$48*'TUSD BE'!$AI$58</f>
        <v>0</v>
      </c>
      <c r="AJ48" s="13">
        <f ca="1">'TUSD BE'!$AJ$48*'TUSD BE'!$AJ$58</f>
        <v>0</v>
      </c>
      <c r="AK48" s="13">
        <f ca="1">'TUSD BE'!$AK$48*'TUSD BE'!$AK$58</f>
        <v>0</v>
      </c>
      <c r="AL48" s="13">
        <f ca="1">SUM($AH$48:$AK$48)</f>
        <v>1.2133654437265899</v>
      </c>
      <c r="AM48" s="13">
        <f ca="1">SUMIF($L$4:$AL$4,"SUBTOTAL",$L$48:$AL$48)</f>
        <v>-104.51944989135585</v>
      </c>
      <c r="AO48" s="20">
        <f ca="1">+'TUSD BE'!$T$48+'TUSD BE'!$AB$48+'TUSD BE'!$AD$48+'TUSD BE'!$AL$48</f>
        <v>415.88745245281598</v>
      </c>
      <c r="AP48" s="20">
        <f ca="1">+'TUSD BE'!$T$48+'TUSD BE'!$AB$48+'TUSD BE'!$AD$48+'TUSD BE'!$AL$48</f>
        <v>415.88745245281598</v>
      </c>
    </row>
    <row r="49" spans="1:42" ht="11.25" customHeight="1" x14ac:dyDescent="0.3">
      <c r="A49" s="91"/>
      <c r="B49" s="17" t="s">
        <v>84</v>
      </c>
      <c r="C49" s="17" t="s">
        <v>25</v>
      </c>
      <c r="D49" s="17" t="s">
        <v>25</v>
      </c>
      <c r="E49" s="17" t="s">
        <v>25</v>
      </c>
      <c r="F49" s="17" t="s">
        <v>25</v>
      </c>
      <c r="G49" s="18" t="s">
        <v>74</v>
      </c>
      <c r="H49" s="18" t="s">
        <v>68</v>
      </c>
      <c r="I49" s="18">
        <f>'MERCADO TUSD'!$U$46</f>
        <v>0</v>
      </c>
      <c r="J49" s="15"/>
      <c r="L49" s="13">
        <f>'TUSD BE'!$L$49*'TUSD BE'!$L$58</f>
        <v>0</v>
      </c>
      <c r="M49" s="13">
        <f>'TUSD BE'!$M$49*'TUSD BE'!$M$58</f>
        <v>-7.0555556849739687E-2</v>
      </c>
      <c r="N49" s="13">
        <f ca="1">'TUSD BE'!$N$49*'TUSD BE'!$N$58</f>
        <v>0</v>
      </c>
      <c r="O49" s="13">
        <f>'TUSD BE'!$O$49*'TUSD BE'!$O$58</f>
        <v>0</v>
      </c>
      <c r="P49" s="13">
        <f>'TUSD BE'!$P$49*'TUSD BE'!$P$58</f>
        <v>0</v>
      </c>
      <c r="Q49" s="13">
        <f>'TUSD BE'!$Q$49*'TUSD BE'!$Q$58</f>
        <v>-5.933236991611734</v>
      </c>
      <c r="R49" s="13">
        <f>'TUSD BE'!$R$49*'TUSD BE'!$R$58</f>
        <v>-0.96861079194913424</v>
      </c>
      <c r="S49" s="13">
        <f>'TUSD BE'!$R$49*'TUSD BE'!$S$58</f>
        <v>0</v>
      </c>
      <c r="T49" s="13">
        <f ca="1">SUM($L$49:$S$49)</f>
        <v>-6.9724033404106081</v>
      </c>
      <c r="U49" s="13">
        <f>'TUSD BE'!$U$49*'TUSD BE'!$U$58</f>
        <v>0</v>
      </c>
      <c r="V49" s="13">
        <f>'TUSD BE'!$V$49*'TUSD BE'!$V$58</f>
        <v>0</v>
      </c>
      <c r="W49" s="13">
        <f>'TUSD BE'!$W$49*'TUSD BE'!$W$58</f>
        <v>0</v>
      </c>
      <c r="X49" s="13">
        <f>'TUSD BE'!$X$49*'TUSD BE'!$X$58</f>
        <v>0</v>
      </c>
      <c r="Y49" s="13">
        <f>'TUSD BE'!$Y$49*'TUSD BE'!$Y$58</f>
        <v>1.6484357910641672</v>
      </c>
      <c r="Z49" s="13">
        <f>'TUSD BE'!$Z$49*'TUSD BE'!$Z$58</f>
        <v>0</v>
      </c>
      <c r="AA49" s="13">
        <f>'TUSD BE'!$AA$49*'TUSD BE'!$AA$58</f>
        <v>0</v>
      </c>
      <c r="AB49" s="13">
        <f>SUM($U$49:$AA$49)</f>
        <v>1.6484357910641672</v>
      </c>
      <c r="AC49" s="13">
        <f>'TUSD BE'!$AC$49*'TUSD BE'!$AC$58</f>
        <v>-100.408847785736</v>
      </c>
      <c r="AD49" s="13">
        <f>SUM($AC$49:$AC$49)</f>
        <v>-100.408847785736</v>
      </c>
      <c r="AE49" s="13">
        <f ca="1">$AO$49*$AO$55</f>
        <v>0</v>
      </c>
      <c r="AF49" s="13">
        <f ca="1">$AP$49*$AP$55</f>
        <v>0</v>
      </c>
      <c r="AG49" s="13">
        <f ca="1">SUM($AE$49:$AF$49)</f>
        <v>0</v>
      </c>
      <c r="AH49" s="13">
        <f>'TUSD BE'!$AH$49*'TUSD BE'!$AH$58</f>
        <v>1.2133654437265899</v>
      </c>
      <c r="AI49" s="13">
        <f>'TUSD BE'!$AI$49*'TUSD BE'!$AI$58</f>
        <v>0</v>
      </c>
      <c r="AJ49" s="13">
        <f ca="1">'TUSD BE'!$AJ$49*'TUSD BE'!$AJ$58</f>
        <v>0</v>
      </c>
      <c r="AK49" s="13">
        <f ca="1">'TUSD BE'!$AK$49*'TUSD BE'!$AK$58</f>
        <v>0</v>
      </c>
      <c r="AL49" s="13">
        <f ca="1">SUM($AH$49:$AK$49)</f>
        <v>1.2133654437265899</v>
      </c>
      <c r="AM49" s="13">
        <f ca="1">SUMIF($L$4:$AL$4,"SUBTOTAL",$L$49:$AL$49)</f>
        <v>-104.51944989135585</v>
      </c>
      <c r="AO49" s="20">
        <f ca="1">+'TUSD BE'!$T$49+'TUSD BE'!$AB$49+'TUSD BE'!$AD$49+'TUSD BE'!$AL$49</f>
        <v>415.88745245281598</v>
      </c>
      <c r="AP49" s="20">
        <f ca="1">+'TUSD BE'!$T$49+'TUSD BE'!$AB$49+'TUSD BE'!$AD$49+'TUSD BE'!$AL$49</f>
        <v>415.88745245281598</v>
      </c>
    </row>
    <row r="50" spans="1:42" ht="11.25" customHeight="1" x14ac:dyDescent="0.3">
      <c r="A50" s="91" t="s">
        <v>43</v>
      </c>
      <c r="B50" s="91" t="s">
        <v>23</v>
      </c>
      <c r="C50" s="91" t="s">
        <v>44</v>
      </c>
      <c r="D50" s="17" t="s">
        <v>45</v>
      </c>
      <c r="E50" s="17" t="s">
        <v>25</v>
      </c>
      <c r="F50" s="17" t="s">
        <v>25</v>
      </c>
      <c r="G50" s="18" t="s">
        <v>74</v>
      </c>
      <c r="H50" s="18" t="s">
        <v>68</v>
      </c>
      <c r="I50" s="18">
        <f>'MERCADO TUSD'!$U$47</f>
        <v>249.66400000000002</v>
      </c>
      <c r="J50" s="15"/>
      <c r="L50" s="13">
        <f>'TUSD BE'!$L$50*'TUSD BE'!$L$58</f>
        <v>0</v>
      </c>
      <c r="M50" s="13">
        <f>'TUSD BE'!$M$50*'TUSD BE'!$M$58</f>
        <v>-3.8805556267356836E-2</v>
      </c>
      <c r="N50" s="13">
        <f ca="1">'TUSD BE'!$N$50*'TUSD BE'!$N$58</f>
        <v>0</v>
      </c>
      <c r="O50" s="13">
        <f>'TUSD BE'!$O$50*'TUSD BE'!$O$58</f>
        <v>0</v>
      </c>
      <c r="P50" s="13">
        <f>'TUSD BE'!$P$50*'TUSD BE'!$P$58</f>
        <v>0</v>
      </c>
      <c r="Q50" s="13">
        <f>'TUSD BE'!$Q$50*'TUSD BE'!$Q$58</f>
        <v>-3.2632803453864541</v>
      </c>
      <c r="R50" s="13">
        <f>'TUSD BE'!$R$50*'TUSD BE'!$R$58</f>
        <v>-0.53273593557202392</v>
      </c>
      <c r="S50" s="13">
        <f>'TUSD BE'!$R$50*'TUSD BE'!$S$58</f>
        <v>0</v>
      </c>
      <c r="T50" s="13">
        <f ca="1">SUM($L$50:$S$50)</f>
        <v>-3.8348218372258351</v>
      </c>
      <c r="U50" s="13">
        <f>'TUSD BE'!$U$50*'TUSD BE'!$U$58</f>
        <v>0</v>
      </c>
      <c r="V50" s="13">
        <f>'TUSD BE'!$V$50*'TUSD BE'!$V$58</f>
        <v>0</v>
      </c>
      <c r="W50" s="13">
        <f>'TUSD BE'!$W$50*'TUSD BE'!$W$58</f>
        <v>0</v>
      </c>
      <c r="X50" s="13">
        <f>'TUSD BE'!$X$50*'TUSD BE'!$X$58</f>
        <v>0</v>
      </c>
      <c r="Y50" s="13">
        <f>'TUSD BE'!$Y$50*'TUSD BE'!$Y$58</f>
        <v>0.90663968508529191</v>
      </c>
      <c r="Z50" s="13">
        <f>'TUSD BE'!$Z$50*'TUSD BE'!$Z$58</f>
        <v>0</v>
      </c>
      <c r="AA50" s="13">
        <f>'TUSD BE'!$AA$50*'TUSD BE'!$AA$58</f>
        <v>0</v>
      </c>
      <c r="AB50" s="13">
        <f>SUM($U$50:$AA$50)</f>
        <v>0.90663968508529191</v>
      </c>
      <c r="AC50" s="13">
        <f>'TUSD BE'!$AC$50*'TUSD BE'!$AC$58</f>
        <v>-55.2248662821548</v>
      </c>
      <c r="AD50" s="13">
        <f>SUM($AC$50:$AC$50)</f>
        <v>-55.2248662821548</v>
      </c>
      <c r="AE50" s="13">
        <f ca="1">$AO$50*$AO$55</f>
        <v>0</v>
      </c>
      <c r="AF50" s="13">
        <f ca="1">$AP$50*$AP$55</f>
        <v>0</v>
      </c>
      <c r="AG50" s="13">
        <f ca="1">SUM($AE$50:$AF$50)</f>
        <v>0</v>
      </c>
      <c r="AH50" s="13">
        <f>'TUSD BE'!$AH$50*'TUSD BE'!$AH$58</f>
        <v>0.6673509940496245</v>
      </c>
      <c r="AI50" s="13">
        <f>'TUSD BE'!$AI$50*'TUSD BE'!$AI$58</f>
        <v>0</v>
      </c>
      <c r="AJ50" s="13">
        <f ca="1">'TUSD BE'!$AJ$50*'TUSD BE'!$AJ$58</f>
        <v>0</v>
      </c>
      <c r="AK50" s="13">
        <f ca="1">'TUSD BE'!$AK$50*'TUSD BE'!$AK$58</f>
        <v>0</v>
      </c>
      <c r="AL50" s="13">
        <f ca="1">SUM($AH$50:$AK$50)</f>
        <v>0.6673509940496245</v>
      </c>
      <c r="AM50" s="13">
        <f ca="1">SUMIF($L$4:$AL$4,"SUBTOTAL",$L$50:$AL$50)</f>
        <v>-57.485697440245715</v>
      </c>
      <c r="AO50" s="20">
        <f ca="1">+'TUSD BE'!$T$50+'TUSD BE'!$AB$50+'TUSD BE'!$AD$50+'TUSD BE'!$AL$50</f>
        <v>228.73809884904878</v>
      </c>
      <c r="AP50" s="20">
        <f ca="1">+'TUSD BE'!$T$50+'TUSD BE'!$AB$50+'TUSD BE'!$AD$50+'TUSD BE'!$AL$50</f>
        <v>228.73809884904878</v>
      </c>
    </row>
    <row r="51" spans="1:42" ht="11.25" customHeight="1" x14ac:dyDescent="0.3">
      <c r="A51" s="91"/>
      <c r="B51" s="91"/>
      <c r="C51" s="91"/>
      <c r="D51" s="18" t="s">
        <v>87</v>
      </c>
      <c r="E51" s="18" t="s">
        <v>25</v>
      </c>
      <c r="F51" s="18" t="s">
        <v>25</v>
      </c>
      <c r="G51" s="18" t="s">
        <v>74</v>
      </c>
      <c r="H51" s="18" t="s">
        <v>68</v>
      </c>
      <c r="I51" s="18">
        <f>'MERCADO TUSD'!$U$48</f>
        <v>0</v>
      </c>
      <c r="J51" s="15"/>
      <c r="L51" s="13">
        <f>'TUSD BE'!$L$51*'TUSD BE'!$L$58</f>
        <v>0</v>
      </c>
      <c r="M51" s="13">
        <f>'TUSD BE'!$M$51*'TUSD BE'!$M$58</f>
        <v>-4.2333334109843815E-2</v>
      </c>
      <c r="N51" s="13">
        <f ca="1">'TUSD BE'!$N$51*'TUSD BE'!$N$58</f>
        <v>0</v>
      </c>
      <c r="O51" s="13">
        <f>'TUSD BE'!$O$51*'TUSD BE'!$O$58</f>
        <v>0</v>
      </c>
      <c r="P51" s="13">
        <f>'TUSD BE'!$P$51*'TUSD BE'!$P$58</f>
        <v>0</v>
      </c>
      <c r="Q51" s="13">
        <f>'TUSD BE'!$Q$51*'TUSD BE'!$Q$58</f>
        <v>-3.5599421949670407</v>
      </c>
      <c r="R51" s="13">
        <f>'TUSD BE'!$R$51*'TUSD BE'!$R$58</f>
        <v>-0.5811664751694805</v>
      </c>
      <c r="S51" s="13">
        <f>'TUSD BE'!$R$51*'TUSD BE'!$S$58</f>
        <v>0</v>
      </c>
      <c r="T51" s="13">
        <f ca="1">SUM($L$51:$S$51)</f>
        <v>-4.1834420042463654</v>
      </c>
      <c r="U51" s="13">
        <f>'TUSD BE'!$U$51*'TUSD BE'!$U$58</f>
        <v>0</v>
      </c>
      <c r="V51" s="13">
        <f>'TUSD BE'!$V$51*'TUSD BE'!$V$58</f>
        <v>0</v>
      </c>
      <c r="W51" s="13">
        <f>'TUSD BE'!$W$51*'TUSD BE'!$W$58</f>
        <v>0</v>
      </c>
      <c r="X51" s="13">
        <f>'TUSD BE'!$X$51*'TUSD BE'!$X$58</f>
        <v>0</v>
      </c>
      <c r="Y51" s="13">
        <f>'TUSD BE'!$Y$51*'TUSD BE'!$Y$58</f>
        <v>0.98906147463850014</v>
      </c>
      <c r="Z51" s="13">
        <f>'TUSD BE'!$Z$51*'TUSD BE'!$Z$58</f>
        <v>0</v>
      </c>
      <c r="AA51" s="13">
        <f>'TUSD BE'!$AA$51*'TUSD BE'!$AA$58</f>
        <v>0</v>
      </c>
      <c r="AB51" s="13">
        <f>SUM($U$51:$AA$51)</f>
        <v>0.98906147463850014</v>
      </c>
      <c r="AC51" s="13">
        <f>'TUSD BE'!$AC$51*'TUSD BE'!$AC$58</f>
        <v>-60.245308671441599</v>
      </c>
      <c r="AD51" s="13">
        <f>SUM($AC$51:$AC$51)</f>
        <v>-60.245308671441599</v>
      </c>
      <c r="AE51" s="13">
        <f ca="1">$AO$51*$AO$55</f>
        <v>0</v>
      </c>
      <c r="AF51" s="13">
        <f ca="1">$AP$51*$AP$55</f>
        <v>0</v>
      </c>
      <c r="AG51" s="13">
        <f ca="1">SUM($AE$51:$AF$51)</f>
        <v>0</v>
      </c>
      <c r="AH51" s="13">
        <f>'TUSD BE'!$AH$51*'TUSD BE'!$AH$58</f>
        <v>0.72801926623595392</v>
      </c>
      <c r="AI51" s="13">
        <f>'TUSD BE'!$AI$51*'TUSD BE'!$AI$58</f>
        <v>0</v>
      </c>
      <c r="AJ51" s="13">
        <f ca="1">'TUSD BE'!$AJ$51*'TUSD BE'!$AJ$58</f>
        <v>0</v>
      </c>
      <c r="AK51" s="13">
        <f ca="1">'TUSD BE'!$AK$51*'TUSD BE'!$AK$58</f>
        <v>0</v>
      </c>
      <c r="AL51" s="13">
        <f ca="1">SUM($AH$51:$AK$51)</f>
        <v>0.72801926623595392</v>
      </c>
      <c r="AM51" s="13">
        <f ca="1">SUMIF($L$4:$AL$4,"SUBTOTAL",$L$51:$AL$51)</f>
        <v>-62.711669934813507</v>
      </c>
      <c r="AO51" s="20">
        <f ca="1">+'TUSD BE'!$T$51+'TUSD BE'!$AB$51+'TUSD BE'!$AD$51+'TUSD BE'!$AL$51</f>
        <v>249.53247147168955</v>
      </c>
      <c r="AP51" s="20">
        <f ca="1">+'TUSD BE'!$T$51+'TUSD BE'!$AB$51+'TUSD BE'!$AD$51+'TUSD BE'!$AL$51</f>
        <v>249.53247147168955</v>
      </c>
    </row>
    <row r="53" spans="1:42" ht="11.25" customHeight="1" x14ac:dyDescent="0.3">
      <c r="K53" s="16" t="s">
        <v>477</v>
      </c>
      <c r="L53" s="13">
        <f>SUMPRODUCT($I$5:$I51,$L$5:$L51)</f>
        <v>0</v>
      </c>
      <c r="M53" s="13">
        <f>SUMPRODUCT($I$5:$I51,$M$5:$M51)</f>
        <v>-1049.8958455291686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-95422.930034866644</v>
      </c>
      <c r="R53" s="13">
        <f>SUMPRODUCT($I$5:$I51,$R$5:$R51)</f>
        <v>-17322.630753886515</v>
      </c>
      <c r="S53" s="13">
        <f>SUMPRODUCT($I$5:$I51,$S$5:$S51)</f>
        <v>0</v>
      </c>
      <c r="T53" s="13">
        <f ca="1">SUMPRODUCT($I$5:$I51,$T$5:$T51)</f>
        <v>-113795.45663428237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31119.052103736372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31119.052103736372</v>
      </c>
      <c r="AC53" s="13">
        <f>SUMPRODUCT($I$5:$I51,$AC$5:$AC51)</f>
        <v>-1494125.152596097</v>
      </c>
      <c r="AD53" s="13">
        <f>SUMPRODUCT($I$5:$I51,$AD$5:$AD51)</f>
        <v>-1494125.152596097</v>
      </c>
      <c r="AE53" s="13">
        <f ca="1">SUMPRODUCT($I$5:$I51,$AE$5:$AE51)</f>
        <v>0</v>
      </c>
      <c r="AF53" s="13">
        <f ca="1">SUMPRODUCT($I$5:$I51,$AF$5:$AF51)</f>
        <v>0</v>
      </c>
      <c r="AG53" s="13">
        <f ca="1">SUMPRODUCT($I$5:$I51,$AG$5:$AG51)</f>
        <v>0</v>
      </c>
      <c r="AH53" s="13">
        <f>SUMPRODUCT($I$5:$I51,$AH$5:$AH51)</f>
        <v>13331.837922066199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13331.837922066199</v>
      </c>
      <c r="AM53" s="13">
        <f ca="1">SUMPRODUCT($I$5:$I51,$AM$5:$AM51)</f>
        <v>-1563469.7192045767</v>
      </c>
      <c r="AO53" s="18">
        <f ca="1">SUMPRODUCT($I$5:$I51,$AO$5:$AO51)</f>
        <v>6672113.0980033549</v>
      </c>
      <c r="AP53" s="18">
        <f ca="1">SUMPRODUCT($I$5:$I51,$AP$5:$AP51)</f>
        <v>6672113.0980033549</v>
      </c>
    </row>
    <row r="54" spans="1:42" ht="11.25" customHeight="1" x14ac:dyDescent="0.3">
      <c r="K54" s="16" t="s">
        <v>409</v>
      </c>
      <c r="L54" s="13">
        <f>'TR TUSD'!$L$56</f>
        <v>0</v>
      </c>
      <c r="M54" s="13">
        <f>'TR TUSD'!$M$56</f>
        <v>12857.088096908077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1447102.0752100002</v>
      </c>
      <c r="R54" s="13">
        <f>'TR TUSD'!$R$56</f>
        <v>254288.34072000007</v>
      </c>
      <c r="S54" s="13">
        <f>'TR TUSD'!$S$56</f>
        <v>0</v>
      </c>
      <c r="T54" s="13">
        <f>'TR TUSD'!$T$56</f>
        <v>1714247.5040269082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1881904.5259199997</v>
      </c>
      <c r="Z54" s="13">
        <f>'TR TUSD'!$Z$56</f>
        <v>0</v>
      </c>
      <c r="AA54" s="13">
        <f>'TR TUSD'!$AA$56</f>
        <v>0</v>
      </c>
      <c r="AB54" s="13">
        <f>'TR TUSD'!$AB$56</f>
        <v>1881904.5259199997</v>
      </c>
      <c r="AC54" s="13">
        <f>'TR TUSD'!$AC$56</f>
        <v>2890068.7</v>
      </c>
      <c r="AD54" s="13">
        <f>'TR TUSD'!$AD$56</f>
        <v>2890068.7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185892.36805644623</v>
      </c>
      <c r="AI54" s="13">
        <f>'TR TUSD'!$AI$56</f>
        <v>0</v>
      </c>
      <c r="AJ54" s="13">
        <f>'TR TUSD'!$AJ$56</f>
        <v>0</v>
      </c>
      <c r="AK54" s="13">
        <f>'TR TUSD'!$AK$56</f>
        <v>0</v>
      </c>
      <c r="AL54" s="13">
        <f>'TR TUSD'!$AL$56</f>
        <v>185892.36805644623</v>
      </c>
      <c r="AM54" s="13">
        <f>'TUSD BE'!$AM$54</f>
        <v>6672113.0980033539</v>
      </c>
      <c r="AO54" s="18">
        <f>$AE$55</f>
        <v>0</v>
      </c>
      <c r="AP54" s="18">
        <f>$AF$55</f>
        <v>0</v>
      </c>
    </row>
    <row r="55" spans="1:42" ht="11.25" customHeight="1" x14ac:dyDescent="0.3">
      <c r="K55" s="16" t="s">
        <v>410</v>
      </c>
      <c r="L55" s="13">
        <f>CUSTOS!$E$2</f>
        <v>0</v>
      </c>
      <c r="M55" s="13">
        <f>CUSTOS!$E$3</f>
        <v>-1049.8958455291686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-95422.930034866673</v>
      </c>
      <c r="R55" s="13">
        <f>CUSTOS!$E$8</f>
        <v>-17322.630753886519</v>
      </c>
      <c r="S55" s="13">
        <f>CUSTOS!$E$9</f>
        <v>0</v>
      </c>
      <c r="T55" s="13">
        <f>CUSTOS!$E$10</f>
        <v>-113795.45663428237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31119.052103736372</v>
      </c>
      <c r="Z55" s="13">
        <f>CUSTOS!$E$16</f>
        <v>0</v>
      </c>
      <c r="AA55" s="13">
        <f>CUSTOS!$E$17</f>
        <v>0</v>
      </c>
      <c r="AB55" s="13">
        <f>CUSTOS!$E$18</f>
        <v>31119.052103736372</v>
      </c>
      <c r="AC55" s="13">
        <f>CUSTOS!$E$19</f>
        <v>-1494125.1525960967</v>
      </c>
      <c r="AD55" s="13">
        <f>CUSTOS!$E$20</f>
        <v>-1494125.1525960967</v>
      </c>
      <c r="AE55" s="13">
        <f>CUSTOS!$E$21</f>
        <v>0</v>
      </c>
      <c r="AF55" s="13">
        <f>CUSTOS!$E$22</f>
        <v>0</v>
      </c>
      <c r="AG55" s="13">
        <f>CUSTOS!$E$23</f>
        <v>0</v>
      </c>
      <c r="AH55" s="13">
        <f>CUSTOS!$E$24</f>
        <v>13331.837922066195</v>
      </c>
      <c r="AI55" s="13">
        <f>CUSTOS!$E$25</f>
        <v>0</v>
      </c>
      <c r="AJ55" s="13">
        <f>CUSTOS!$E$26</f>
        <v>0</v>
      </c>
      <c r="AK55" s="13">
        <f>CUSTOS!$E$27</f>
        <v>0</v>
      </c>
      <c r="AL55" s="13">
        <f>CUSTOS!$E$28</f>
        <v>13331.837922066195</v>
      </c>
      <c r="AM55" s="13">
        <f>CUSTOS!$E$29</f>
        <v>-1563469.7192045765</v>
      </c>
      <c r="AO55" s="18">
        <f ca="1">IF(AO53&lt;&gt;0,AO54/AO53,0)</f>
        <v>0</v>
      </c>
      <c r="AP55" s="18">
        <f ca="1">IF(AP53&lt;&gt;0,AP54/AP53,0)</f>
        <v>0</v>
      </c>
    </row>
    <row r="56" spans="1:42" ht="11.25" customHeight="1" x14ac:dyDescent="0.3">
      <c r="K56" s="16" t="s">
        <v>411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3">
      <c r="K57" s="16" t="s">
        <v>474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f>SUM($L$57:$S$57)</f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f>SUM($U$57:$AA$57)</f>
        <v>0</v>
      </c>
      <c r="AC57" s="13">
        <v>0</v>
      </c>
      <c r="AD57" s="13">
        <f>SUM($AC$57:$AC$57)</f>
        <v>0</v>
      </c>
      <c r="AE57" s="13">
        <v>0</v>
      </c>
      <c r="AF57" s="13">
        <v>0</v>
      </c>
      <c r="AG57" s="13">
        <f>SUM($AE$57:$AF$57)</f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f>SUM($AH$57:$AK$57)</f>
        <v>0</v>
      </c>
      <c r="AM57" s="13"/>
    </row>
    <row r="58" spans="1:42" ht="11.25" customHeight="1" x14ac:dyDescent="0.3">
      <c r="K58" s="16" t="s">
        <v>486</v>
      </c>
      <c r="L58" s="13">
        <f t="shared" ref="L58:R58" si="0">IF((L54-(0))&lt;&gt;0,(L56)/(L54-(0)),0)</f>
        <v>0</v>
      </c>
      <c r="M58" s="13">
        <f t="shared" si="0"/>
        <v>0</v>
      </c>
      <c r="N58" s="13">
        <f t="shared" si="0"/>
        <v>0</v>
      </c>
      <c r="O58" s="13">
        <f t="shared" si="0"/>
        <v>0</v>
      </c>
      <c r="P58" s="13">
        <f t="shared" si="0"/>
        <v>0</v>
      </c>
      <c r="Q58" s="13">
        <f t="shared" si="0"/>
        <v>0</v>
      </c>
      <c r="R58" s="13">
        <f t="shared" si="0"/>
        <v>0</v>
      </c>
      <c r="S58" s="13">
        <f>IF((R53-(0)&lt;&gt;0),(S55)/(R53-(0)),0)</f>
        <v>0</v>
      </c>
      <c r="T58" s="13"/>
      <c r="U58" s="13">
        <f t="shared" ref="U58:AA58" si="1">IF((U54-(0))&lt;&gt;0,(U56)/(U54-(0)),0)</f>
        <v>0</v>
      </c>
      <c r="V58" s="13">
        <f t="shared" si="1"/>
        <v>0</v>
      </c>
      <c r="W58" s="13">
        <f t="shared" si="1"/>
        <v>0</v>
      </c>
      <c r="X58" s="13">
        <f t="shared" si="1"/>
        <v>0</v>
      </c>
      <c r="Y58" s="13">
        <f t="shared" si="1"/>
        <v>0</v>
      </c>
      <c r="Z58" s="13">
        <f t="shared" si="1"/>
        <v>0</v>
      </c>
      <c r="AA58" s="13">
        <f t="shared" si="1"/>
        <v>0</v>
      </c>
      <c r="AB58" s="13"/>
      <c r="AC58" s="13">
        <f>IF((AC54-(0))&lt;&gt;0,(AC56)/(AC54-(0)),0)</f>
        <v>0</v>
      </c>
      <c r="AD58" s="13"/>
      <c r="AE58" s="13">
        <f ca="1">IF(($AM53-(0))&lt;&gt;0,(AE55)/($AM53-(0)),0)</f>
        <v>0</v>
      </c>
      <c r="AF58" s="13">
        <f ca="1">IF(($AM53-(0))&lt;&gt;0,(AF55)/($AM53-(0)),0)</f>
        <v>0</v>
      </c>
      <c r="AG58" s="13"/>
      <c r="AH58" s="13">
        <f>IF((AH54-(0))&lt;&gt;0,(AH56)/(AH54-(0)),0)</f>
        <v>0</v>
      </c>
      <c r="AI58" s="13">
        <f>IF((AI54-(0))&lt;&gt;0,(AI56)/(AI54-(0)),0)</f>
        <v>0</v>
      </c>
      <c r="AJ58" s="13">
        <f>IF((AJ54-(0))&lt;&gt;0,(AJ56)/(AJ54-(0)),0)</f>
        <v>0</v>
      </c>
      <c r="AK58" s="13">
        <f>IF((AK54-(0))&lt;&gt;0,(AK56)/(AK54-(0)),0)</f>
        <v>0</v>
      </c>
      <c r="AL58" s="13"/>
      <c r="AM58" s="13"/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conditionalFormatting sqref="L53">
    <cfRule type="cellIs" dxfId="736" priority="55" operator="notEqual">
      <formula>$L$55</formula>
    </cfRule>
    <cfRule type="cellIs" dxfId="735" priority="56" operator="equal">
      <formula>$L$55</formula>
    </cfRule>
  </conditionalFormatting>
  <conditionalFormatting sqref="M53">
    <cfRule type="cellIs" dxfId="734" priority="53" operator="notEqual">
      <formula>$M$55</formula>
    </cfRule>
    <cfRule type="cellIs" dxfId="733" priority="54" operator="equal">
      <formula>$M$55</formula>
    </cfRule>
  </conditionalFormatting>
  <conditionalFormatting sqref="N53">
    <cfRule type="cellIs" dxfId="732" priority="51" operator="notEqual">
      <formula>$N$55</formula>
    </cfRule>
    <cfRule type="cellIs" dxfId="731" priority="52" operator="equal">
      <formula>$N$55</formula>
    </cfRule>
  </conditionalFormatting>
  <conditionalFormatting sqref="O53">
    <cfRule type="cellIs" dxfId="730" priority="49" operator="notEqual">
      <formula>$O$55</formula>
    </cfRule>
    <cfRule type="cellIs" dxfId="729" priority="50" operator="equal">
      <formula>$O$55</formula>
    </cfRule>
  </conditionalFormatting>
  <conditionalFormatting sqref="P53">
    <cfRule type="cellIs" dxfId="728" priority="47" operator="notEqual">
      <formula>$P$55</formula>
    </cfRule>
    <cfRule type="cellIs" dxfId="727" priority="48" operator="equal">
      <formula>$P$55</formula>
    </cfRule>
  </conditionalFormatting>
  <conditionalFormatting sqref="Q53">
    <cfRule type="cellIs" dxfId="726" priority="45" operator="notEqual">
      <formula>$Q$55</formula>
    </cfRule>
    <cfRule type="cellIs" dxfId="725" priority="46" operator="equal">
      <formula>$Q$55</formula>
    </cfRule>
  </conditionalFormatting>
  <conditionalFormatting sqref="R53">
    <cfRule type="cellIs" dxfId="724" priority="43" operator="notEqual">
      <formula>$R$55</formula>
    </cfRule>
    <cfRule type="cellIs" dxfId="723" priority="44" operator="equal">
      <formula>$R$55</formula>
    </cfRule>
  </conditionalFormatting>
  <conditionalFormatting sqref="S53">
    <cfRule type="cellIs" dxfId="722" priority="41" operator="notEqual">
      <formula>$S$55</formula>
    </cfRule>
    <cfRule type="cellIs" dxfId="721" priority="42" operator="equal">
      <formula>$S$55</formula>
    </cfRule>
  </conditionalFormatting>
  <conditionalFormatting sqref="T53">
    <cfRule type="cellIs" dxfId="720" priority="39" operator="notEqual">
      <formula>$T$55</formula>
    </cfRule>
    <cfRule type="cellIs" dxfId="719" priority="40" operator="equal">
      <formula>$T$55</formula>
    </cfRule>
  </conditionalFormatting>
  <conditionalFormatting sqref="U53">
    <cfRule type="cellIs" dxfId="718" priority="37" operator="notEqual">
      <formula>$U$55</formula>
    </cfRule>
    <cfRule type="cellIs" dxfId="717" priority="38" operator="equal">
      <formula>$U$55</formula>
    </cfRule>
  </conditionalFormatting>
  <conditionalFormatting sqref="V53">
    <cfRule type="cellIs" dxfId="716" priority="35" operator="notEqual">
      <formula>$V$55</formula>
    </cfRule>
    <cfRule type="cellIs" dxfId="715" priority="36" operator="equal">
      <formula>$V$55</formula>
    </cfRule>
  </conditionalFormatting>
  <conditionalFormatting sqref="W53">
    <cfRule type="cellIs" dxfId="714" priority="33" operator="notEqual">
      <formula>$W$55</formula>
    </cfRule>
    <cfRule type="cellIs" dxfId="713" priority="34" operator="equal">
      <formula>$W$55</formula>
    </cfRule>
  </conditionalFormatting>
  <conditionalFormatting sqref="X53">
    <cfRule type="cellIs" dxfId="712" priority="31" operator="notEqual">
      <formula>$X$55</formula>
    </cfRule>
    <cfRule type="cellIs" dxfId="711" priority="32" operator="equal">
      <formula>$X$55</formula>
    </cfRule>
  </conditionalFormatting>
  <conditionalFormatting sqref="Y53">
    <cfRule type="cellIs" dxfId="710" priority="29" operator="notEqual">
      <formula>$Y$55</formula>
    </cfRule>
    <cfRule type="cellIs" dxfId="709" priority="30" operator="equal">
      <formula>$Y$55</formula>
    </cfRule>
  </conditionalFormatting>
  <conditionalFormatting sqref="Z53">
    <cfRule type="cellIs" dxfId="708" priority="27" operator="notEqual">
      <formula>$Z$55</formula>
    </cfRule>
    <cfRule type="cellIs" dxfId="707" priority="28" operator="equal">
      <formula>$Z$55</formula>
    </cfRule>
  </conditionalFormatting>
  <conditionalFormatting sqref="AA53">
    <cfRule type="cellIs" dxfId="706" priority="25" operator="notEqual">
      <formula>$AA$55</formula>
    </cfRule>
    <cfRule type="cellIs" dxfId="705" priority="26" operator="equal">
      <formula>$AA$55</formula>
    </cfRule>
  </conditionalFormatting>
  <conditionalFormatting sqref="AB53">
    <cfRule type="cellIs" dxfId="704" priority="23" operator="notEqual">
      <formula>$AB$55</formula>
    </cfRule>
    <cfRule type="cellIs" dxfId="703" priority="24" operator="equal">
      <formula>$AB$55</formula>
    </cfRule>
  </conditionalFormatting>
  <conditionalFormatting sqref="AC53">
    <cfRule type="cellIs" dxfId="702" priority="21" operator="notEqual">
      <formula>$AC$55</formula>
    </cfRule>
    <cfRule type="cellIs" dxfId="701" priority="22" operator="equal">
      <formula>$AC$55</formula>
    </cfRule>
  </conditionalFormatting>
  <conditionalFormatting sqref="AD53">
    <cfRule type="cellIs" dxfId="700" priority="19" operator="notEqual">
      <formula>$AD$55</formula>
    </cfRule>
    <cfRule type="cellIs" dxfId="699" priority="20" operator="equal">
      <formula>$AD$55</formula>
    </cfRule>
  </conditionalFormatting>
  <conditionalFormatting sqref="AE53">
    <cfRule type="cellIs" dxfId="698" priority="17" operator="notEqual">
      <formula>$AE$55</formula>
    </cfRule>
    <cfRule type="cellIs" dxfId="697" priority="18" operator="equal">
      <formula>$AE$55</formula>
    </cfRule>
  </conditionalFormatting>
  <conditionalFormatting sqref="AF53">
    <cfRule type="cellIs" dxfId="696" priority="16" operator="equal">
      <formula>$AF$55</formula>
    </cfRule>
  </conditionalFormatting>
  <conditionalFormatting sqref="AF53">
    <cfRule type="cellIs" dxfId="695" priority="15" operator="notEqual">
      <formula>$AF$55</formula>
    </cfRule>
  </conditionalFormatting>
  <conditionalFormatting sqref="AG53">
    <cfRule type="cellIs" dxfId="694" priority="14" operator="equal">
      <formula>$AG$55</formula>
    </cfRule>
  </conditionalFormatting>
  <conditionalFormatting sqref="AG53">
    <cfRule type="cellIs" dxfId="693" priority="13" operator="notEqual">
      <formula>$AG$55</formula>
    </cfRule>
  </conditionalFormatting>
  <conditionalFormatting sqref="AH53">
    <cfRule type="cellIs" dxfId="692" priority="12" operator="equal">
      <formula>$AH$55</formula>
    </cfRule>
  </conditionalFormatting>
  <conditionalFormatting sqref="AH53">
    <cfRule type="cellIs" dxfId="691" priority="11" operator="notEqual">
      <formula>$AH$55</formula>
    </cfRule>
  </conditionalFormatting>
  <conditionalFormatting sqref="AI53">
    <cfRule type="cellIs" dxfId="690" priority="10" operator="equal">
      <formula>$AI$55</formula>
    </cfRule>
  </conditionalFormatting>
  <conditionalFormatting sqref="AI53">
    <cfRule type="cellIs" dxfId="689" priority="9" operator="notEqual">
      <formula>$AI$55</formula>
    </cfRule>
  </conditionalFormatting>
  <conditionalFormatting sqref="AJ53">
    <cfRule type="cellIs" dxfId="688" priority="8" operator="equal">
      <formula>$AJ$55</formula>
    </cfRule>
  </conditionalFormatting>
  <conditionalFormatting sqref="AJ53">
    <cfRule type="cellIs" dxfId="687" priority="7" operator="notEqual">
      <formula>$AJ$55</formula>
    </cfRule>
  </conditionalFormatting>
  <conditionalFormatting sqref="AK53">
    <cfRule type="cellIs" dxfId="686" priority="6" operator="equal">
      <formula>$AK$55</formula>
    </cfRule>
  </conditionalFormatting>
  <conditionalFormatting sqref="AK53">
    <cfRule type="cellIs" dxfId="685" priority="5" operator="notEqual">
      <formula>$AK$55</formula>
    </cfRule>
  </conditionalFormatting>
  <conditionalFormatting sqref="AL53">
    <cfRule type="cellIs" dxfId="684" priority="4" operator="equal">
      <formula>$AL$55</formula>
    </cfRule>
  </conditionalFormatting>
  <conditionalFormatting sqref="AL53">
    <cfRule type="cellIs" dxfId="683" priority="3" operator="notEqual">
      <formula>$AL$55</formula>
    </cfRule>
  </conditionalFormatting>
  <conditionalFormatting sqref="AM53">
    <cfRule type="cellIs" dxfId="682" priority="2" operator="equal">
      <formula>$AM$55</formula>
    </cfRule>
  </conditionalFormatting>
  <conditionalFormatting sqref="AM53">
    <cfRule type="cellIs" dxfId="681" priority="1" operator="notEqual">
      <formula>$AM$55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C234-6AA2-4887-8619-C6B3251D66D2}">
  <dimension ref="A1:AP57"/>
  <sheetViews>
    <sheetView showGridLines="0" topLeftCell="AF41" workbookViewId="0">
      <selection activeCell="AO53" sqref="AO53:AP55"/>
    </sheetView>
  </sheetViews>
  <sheetFormatPr defaultRowHeight="11.25" customHeight="1" x14ac:dyDescent="0.3"/>
  <cols>
    <col min="1" max="1" width="9" style="9" bestFit="1" customWidth="1"/>
    <col min="2" max="2" width="19.441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9" width="7.109375" style="9" bestFit="1" customWidth="1"/>
    <col min="10" max="10" width="8.88671875" style="9"/>
    <col min="11" max="11" width="14.109375" style="9" bestFit="1" customWidth="1"/>
    <col min="12" max="12" width="12.44140625" style="9" bestFit="1" customWidth="1"/>
    <col min="13" max="13" width="7.109375" style="9" bestFit="1" customWidth="1"/>
    <col min="14" max="14" width="3.77734375" style="9" bestFit="1" customWidth="1"/>
    <col min="15" max="16" width="4.77734375" style="9" bestFit="1" customWidth="1"/>
    <col min="17" max="17" width="9.109375" style="9" bestFit="1" customWidth="1"/>
    <col min="18" max="18" width="7.88671875" style="9" bestFit="1" customWidth="1"/>
    <col min="19" max="19" width="8" style="9" bestFit="1" customWidth="1"/>
    <col min="20" max="20" width="9.109375" style="9" bestFit="1" customWidth="1"/>
    <col min="21" max="21" width="7.109375" style="9" bestFit="1" customWidth="1"/>
    <col min="22" max="22" width="7" style="9" bestFit="1" customWidth="1"/>
    <col min="23" max="23" width="9.21875" style="9" bestFit="1" customWidth="1"/>
    <col min="24" max="24" width="9.33203125" style="9" bestFit="1" customWidth="1"/>
    <col min="25" max="26" width="7.109375" style="9" bestFit="1" customWidth="1"/>
    <col min="27" max="27" width="9.33203125" style="9" bestFit="1" customWidth="1"/>
    <col min="28" max="28" width="9.109375" style="9" bestFit="1" customWidth="1"/>
    <col min="29" max="29" width="11.109375" style="9" bestFit="1" customWidth="1"/>
    <col min="30" max="30" width="9.5546875" style="9" bestFit="1" customWidth="1"/>
    <col min="31" max="31" width="7.77734375" style="9" bestFit="1" customWidth="1"/>
    <col min="32" max="32" width="6.88671875" style="9" bestFit="1" customWidth="1"/>
    <col min="33" max="33" width="8.5546875" style="9" bestFit="1" customWidth="1"/>
    <col min="34" max="34" width="14.44140625" style="9" bestFit="1" customWidth="1"/>
    <col min="35" max="35" width="17.5546875" style="9" bestFit="1" customWidth="1"/>
    <col min="36" max="36" width="18.109375" style="9" bestFit="1" customWidth="1"/>
    <col min="37" max="37" width="3.5546875" style="9" bestFit="1" customWidth="1"/>
    <col min="38" max="38" width="8.5546875" style="9" bestFit="1" customWidth="1"/>
    <col min="39" max="39" width="9.5546875" style="9" bestFit="1" customWidth="1"/>
    <col min="40" max="40" width="8.88671875" style="9"/>
    <col min="41" max="42" width="9.33203125" style="9" bestFit="1" customWidth="1"/>
    <col min="43" max="16384" width="8.88671875" style="9"/>
  </cols>
  <sheetData>
    <row r="1" spans="1:42" ht="11.25" customHeight="1" x14ac:dyDescent="0.3">
      <c r="A1" s="92" t="s">
        <v>58</v>
      </c>
      <c r="B1" s="92" t="s">
        <v>59</v>
      </c>
      <c r="C1" s="92" t="s">
        <v>60</v>
      </c>
      <c r="D1" s="92" t="s">
        <v>61</v>
      </c>
      <c r="E1" s="92" t="s">
        <v>62</v>
      </c>
      <c r="F1" s="92" t="s">
        <v>15</v>
      </c>
      <c r="G1" s="92" t="s">
        <v>64</v>
      </c>
      <c r="H1" s="92" t="s">
        <v>65</v>
      </c>
      <c r="I1" s="92" t="s">
        <v>468</v>
      </c>
      <c r="J1" s="80"/>
      <c r="L1" s="93" t="s">
        <v>488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O1" s="20"/>
      <c r="AP1" s="96" t="s">
        <v>470</v>
      </c>
    </row>
    <row r="2" spans="1:42" ht="11.2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80"/>
      <c r="L2" s="93" t="s">
        <v>367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O2" s="20"/>
      <c r="AP2" s="97"/>
    </row>
    <row r="3" spans="1:42" ht="11.25" customHeight="1" x14ac:dyDescent="0.3">
      <c r="A3" s="92"/>
      <c r="B3" s="92"/>
      <c r="C3" s="92"/>
      <c r="D3" s="92"/>
      <c r="E3" s="92"/>
      <c r="F3" s="92"/>
      <c r="G3" s="92"/>
      <c r="H3" s="92"/>
      <c r="I3" s="92"/>
      <c r="J3" s="80"/>
      <c r="L3" s="93" t="s">
        <v>368</v>
      </c>
      <c r="M3" s="93"/>
      <c r="N3" s="93"/>
      <c r="O3" s="93"/>
      <c r="P3" s="93"/>
      <c r="Q3" s="93"/>
      <c r="R3" s="93"/>
      <c r="S3" s="93"/>
      <c r="T3" s="93"/>
      <c r="U3" s="93" t="s">
        <v>377</v>
      </c>
      <c r="V3" s="93"/>
      <c r="W3" s="93"/>
      <c r="X3" s="93"/>
      <c r="Y3" s="93"/>
      <c r="Z3" s="93"/>
      <c r="AA3" s="93"/>
      <c r="AB3" s="93"/>
      <c r="AC3" s="93" t="s">
        <v>385</v>
      </c>
      <c r="AD3" s="93"/>
      <c r="AE3" s="93" t="s">
        <v>387</v>
      </c>
      <c r="AF3" s="93"/>
      <c r="AG3" s="93"/>
      <c r="AH3" s="93" t="s">
        <v>390</v>
      </c>
      <c r="AI3" s="93"/>
      <c r="AJ3" s="93"/>
      <c r="AK3" s="93"/>
      <c r="AL3" s="93"/>
      <c r="AM3" s="93" t="s">
        <v>376</v>
      </c>
      <c r="AO3" s="20"/>
      <c r="AP3" s="97"/>
    </row>
    <row r="4" spans="1:42" ht="11.25" customHeight="1" x14ac:dyDescent="0.3">
      <c r="A4" s="92"/>
      <c r="B4" s="92"/>
      <c r="C4" s="92"/>
      <c r="D4" s="92"/>
      <c r="E4" s="92"/>
      <c r="F4" s="92"/>
      <c r="G4" s="92"/>
      <c r="H4" s="92"/>
      <c r="I4" s="92"/>
      <c r="J4" s="80"/>
      <c r="L4" s="10" t="s">
        <v>453</v>
      </c>
      <c r="M4" s="10" t="s">
        <v>369</v>
      </c>
      <c r="N4" s="10" t="s">
        <v>370</v>
      </c>
      <c r="O4" s="10" t="s">
        <v>371</v>
      </c>
      <c r="P4" s="10" t="s">
        <v>372</v>
      </c>
      <c r="Q4" s="10" t="s">
        <v>373</v>
      </c>
      <c r="R4" s="10" t="s">
        <v>374</v>
      </c>
      <c r="S4" s="10" t="s">
        <v>375</v>
      </c>
      <c r="T4" s="10" t="s">
        <v>376</v>
      </c>
      <c r="U4" s="10" t="s">
        <v>378</v>
      </c>
      <c r="V4" s="10" t="s">
        <v>379</v>
      </c>
      <c r="W4" s="10" t="s">
        <v>380</v>
      </c>
      <c r="X4" s="10" t="s">
        <v>381</v>
      </c>
      <c r="Y4" s="10" t="s">
        <v>382</v>
      </c>
      <c r="Z4" s="10" t="s">
        <v>383</v>
      </c>
      <c r="AA4" s="10" t="s">
        <v>384</v>
      </c>
      <c r="AB4" s="10" t="s">
        <v>376</v>
      </c>
      <c r="AC4" s="10" t="s">
        <v>386</v>
      </c>
      <c r="AD4" s="10" t="s">
        <v>376</v>
      </c>
      <c r="AE4" s="10" t="s">
        <v>388</v>
      </c>
      <c r="AF4" s="10" t="s">
        <v>389</v>
      </c>
      <c r="AG4" s="10" t="s">
        <v>376</v>
      </c>
      <c r="AH4" s="10" t="s">
        <v>391</v>
      </c>
      <c r="AI4" s="10" t="s">
        <v>392</v>
      </c>
      <c r="AJ4" s="10" t="s">
        <v>393</v>
      </c>
      <c r="AK4" s="10" t="s">
        <v>394</v>
      </c>
      <c r="AL4" s="10" t="s">
        <v>376</v>
      </c>
      <c r="AM4" s="95"/>
      <c r="AO4" s="21" t="s">
        <v>487</v>
      </c>
      <c r="AP4" s="98"/>
    </row>
    <row r="5" spans="1:42" ht="11.25" customHeight="1" x14ac:dyDescent="0.3">
      <c r="A5" s="91" t="s">
        <v>33</v>
      </c>
      <c r="B5" s="91" t="s">
        <v>34</v>
      </c>
      <c r="C5" s="91" t="s">
        <v>25</v>
      </c>
      <c r="D5" s="91" t="s">
        <v>25</v>
      </c>
      <c r="E5" s="91" t="s">
        <v>25</v>
      </c>
      <c r="F5" s="91" t="s">
        <v>25</v>
      </c>
      <c r="G5" s="18" t="s">
        <v>72</v>
      </c>
      <c r="H5" s="18" t="s">
        <v>71</v>
      </c>
      <c r="I5" s="18">
        <f>'MERCADO TUSD'!$U$2</f>
        <v>8229</v>
      </c>
      <c r="J5" s="15"/>
      <c r="L5" s="13">
        <f>'TUSD BE'!$L$5*'TUSD BF'!$L$58</f>
        <v>0</v>
      </c>
      <c r="M5" s="13">
        <f>'TUSD BE'!$M$5*'TUSD BF'!$M$58</f>
        <v>0</v>
      </c>
      <c r="N5" s="13">
        <f ca="1">'TUSD BE'!$N$5*'TUSD BF'!$N$58</f>
        <v>0</v>
      </c>
      <c r="O5" s="13">
        <f>'TUSD BE'!$O$5*'TUSD BF'!$O$58</f>
        <v>0</v>
      </c>
      <c r="P5" s="13">
        <f>'TUSD BE'!$P$5*'TUSD BF'!$P$58</f>
        <v>0</v>
      </c>
      <c r="Q5" s="13">
        <f>'TUSD BE'!$Q$5*'TUSD BF'!$Q$58</f>
        <v>0</v>
      </c>
      <c r="R5" s="13">
        <f>'TUSD BE'!$R$5*'TUSD BF'!$R$58</f>
        <v>0</v>
      </c>
      <c r="S5" s="13">
        <f>'TUSD BE'!$R$5*'TUSD BF'!$S$58</f>
        <v>0</v>
      </c>
      <c r="T5" s="13">
        <f ca="1">SUM($L$5:$S$5)</f>
        <v>0</v>
      </c>
      <c r="U5" s="13">
        <f>'TUSD BE'!$U$5*'TUSD BF'!$U$58</f>
        <v>0</v>
      </c>
      <c r="V5" s="13">
        <f>'TUSD BE'!$V$5*'TUSD BF'!$V$58</f>
        <v>0</v>
      </c>
      <c r="W5" s="13">
        <f>'TUSD BE'!$W$5*'TUSD BF'!$W$58</f>
        <v>0</v>
      </c>
      <c r="X5" s="13">
        <f>'TUSD BE'!$X$5*'TUSD BF'!$X$58</f>
        <v>0</v>
      </c>
      <c r="Y5" s="13">
        <f>'TUSD BE'!$Y$5*'TUSD BF'!$Y$58</f>
        <v>0</v>
      </c>
      <c r="Z5" s="13">
        <f>'TUSD BE'!$Z$5*'TUSD BF'!$Z$58</f>
        <v>0</v>
      </c>
      <c r="AA5" s="13">
        <f>'TUSD BE'!$AA$5*'TUSD BF'!$AA$58</f>
        <v>0</v>
      </c>
      <c r="AB5" s="13">
        <f>SUM($U$5:$AA$5)</f>
        <v>0</v>
      </c>
      <c r="AC5" s="13">
        <f>'TUSD BE'!$AC$5*'TUSD BF'!$AC$58</f>
        <v>0</v>
      </c>
      <c r="AD5" s="13">
        <f>SUM($AC$5:$AC$5)</f>
        <v>0</v>
      </c>
      <c r="AE5" s="13">
        <f ca="1">$AO$5*$AO$55</f>
        <v>0</v>
      </c>
      <c r="AF5" s="13">
        <f ca="1">$AP$5*$AP$55</f>
        <v>0</v>
      </c>
      <c r="AG5" s="13">
        <f ca="1">SUM($AE$5:$AF$5)</f>
        <v>0</v>
      </c>
      <c r="AH5" s="13">
        <f>'TUSD BE'!$AH$5*'TUSD BF'!$AH$58</f>
        <v>0</v>
      </c>
      <c r="AI5" s="13">
        <f>'TUSD BE'!$AI$5*'TUSD BF'!$AI$58</f>
        <v>0</v>
      </c>
      <c r="AJ5" s="13">
        <f ca="1">'TUSD BE'!$AJ$5*'TUSD BF'!$AJ$58</f>
        <v>0</v>
      </c>
      <c r="AK5" s="13">
        <f ca="1">'TUSD BE'!$AK$5*'TUSD BF'!$AK$58</f>
        <v>0</v>
      </c>
      <c r="AL5" s="13">
        <f ca="1">SUM($AH$5:$AK$5)</f>
        <v>0</v>
      </c>
      <c r="AM5" s="13">
        <f ca="1">SUMIF($L$4:$AL$4,"SUBTOTAL",$L$5:$AL$5)</f>
        <v>0</v>
      </c>
      <c r="AO5" s="20">
        <f ca="1">+'TUSD BE'!$T$5+'TUSD BE'!$AB$5+'TUSD BE'!$AD$5+'TUSD BE'!$AL$5</f>
        <v>77.238115497476088</v>
      </c>
      <c r="AP5" s="20">
        <f ca="1">+'TUSD BE'!$T$5+'TUSD BE'!$AB$5+'TUSD BE'!$AD$5+'TUSD BE'!$AL$5</f>
        <v>77.238115497476088</v>
      </c>
    </row>
    <row r="6" spans="1:42" ht="11.25" customHeight="1" x14ac:dyDescent="0.3">
      <c r="A6" s="91"/>
      <c r="B6" s="91"/>
      <c r="C6" s="91"/>
      <c r="D6" s="91"/>
      <c r="E6" s="91"/>
      <c r="F6" s="91"/>
      <c r="G6" s="18" t="s">
        <v>73</v>
      </c>
      <c r="H6" s="18" t="s">
        <v>71</v>
      </c>
      <c r="I6" s="18">
        <f>'MERCADO TUSD'!$U$3</f>
        <v>8328</v>
      </c>
      <c r="J6" s="15"/>
      <c r="L6" s="13">
        <f>'TUSD BE'!$L$6*'TUSD BF'!$L$58</f>
        <v>0</v>
      </c>
      <c r="M6" s="13">
        <f>'TUSD BE'!$M$6*'TUSD BF'!$M$58</f>
        <v>0</v>
      </c>
      <c r="N6" s="13">
        <f ca="1">'TUSD BE'!$N$6*'TUSD BF'!$N$58</f>
        <v>0</v>
      </c>
      <c r="O6" s="13">
        <f>'TUSD BE'!$O$6*'TUSD BF'!$O$58</f>
        <v>0</v>
      </c>
      <c r="P6" s="13">
        <f>'TUSD BE'!$P$6*'TUSD BF'!$P$58</f>
        <v>0</v>
      </c>
      <c r="Q6" s="13">
        <f>'TUSD BE'!$Q$6*'TUSD BF'!$Q$58</f>
        <v>0</v>
      </c>
      <c r="R6" s="13">
        <f>'TUSD BE'!$R$6*'TUSD BF'!$R$58</f>
        <v>0</v>
      </c>
      <c r="S6" s="13">
        <f>'TUSD BE'!$R$6*'TUSD BF'!$S$58</f>
        <v>0</v>
      </c>
      <c r="T6" s="13">
        <f ca="1">SUM($L$6:$S$6)</f>
        <v>0</v>
      </c>
      <c r="U6" s="13">
        <f>'TUSD BE'!$U$6*'TUSD BF'!$U$58</f>
        <v>0</v>
      </c>
      <c r="V6" s="13">
        <f>'TUSD BE'!$V$6*'TUSD BF'!$V$58</f>
        <v>0</v>
      </c>
      <c r="W6" s="13">
        <f>'TUSD BE'!$W$6*'TUSD BF'!$W$58</f>
        <v>0</v>
      </c>
      <c r="X6" s="13">
        <f>'TUSD BE'!$X$6*'TUSD BF'!$X$58</f>
        <v>0</v>
      </c>
      <c r="Y6" s="13">
        <f>'TUSD BE'!$Y$6*'TUSD BF'!$Y$58</f>
        <v>0</v>
      </c>
      <c r="Z6" s="13">
        <f>'TUSD BE'!$Z$6*'TUSD BF'!$Z$58</f>
        <v>0</v>
      </c>
      <c r="AA6" s="13">
        <f>'TUSD BE'!$AA$6*'TUSD BF'!$AA$58</f>
        <v>0</v>
      </c>
      <c r="AB6" s="13">
        <f>SUM($U$6:$AA$6)</f>
        <v>0</v>
      </c>
      <c r="AC6" s="13">
        <f>'TUSD BE'!$AC$6*'TUSD BF'!$AC$58</f>
        <v>0</v>
      </c>
      <c r="AD6" s="13">
        <f>SUM($AC$6:$AC$6)</f>
        <v>0</v>
      </c>
      <c r="AE6" s="13">
        <f ca="1">$AO$6*$AO$55</f>
        <v>0</v>
      </c>
      <c r="AF6" s="13">
        <f ca="1">$AP$6*$AP$55</f>
        <v>0</v>
      </c>
      <c r="AG6" s="13">
        <f ca="1">SUM($AE$6:$AF$6)</f>
        <v>0</v>
      </c>
      <c r="AH6" s="13">
        <f>'TUSD BE'!$AH$6*'TUSD BF'!$AH$58</f>
        <v>0</v>
      </c>
      <c r="AI6" s="13">
        <f>'TUSD BE'!$AI$6*'TUSD BF'!$AI$58</f>
        <v>0</v>
      </c>
      <c r="AJ6" s="13">
        <f ca="1">'TUSD BE'!$AJ$6*'TUSD BF'!$AJ$58</f>
        <v>0</v>
      </c>
      <c r="AK6" s="13">
        <f ca="1">'TUSD BE'!$AK$6*'TUSD BF'!$AK$58</f>
        <v>0</v>
      </c>
      <c r="AL6" s="13">
        <f ca="1">SUM($AH$6:$AK$6)</f>
        <v>0</v>
      </c>
      <c r="AM6" s="13">
        <f ca="1">SUMIF($L$4:$AL$4,"SUBTOTAL",$L$6:$AL$6)</f>
        <v>0</v>
      </c>
      <c r="AO6" s="20">
        <f ca="1">+'TUSD BE'!$T$6+'TUSD BE'!$AB$6+'TUSD BE'!$AD$6+'TUSD BE'!$AL$6</f>
        <v>25.396886995244092</v>
      </c>
      <c r="AP6" s="20">
        <f ca="1">+'TUSD BE'!$T$6+'TUSD BE'!$AB$6+'TUSD BE'!$AD$6+'TUSD BE'!$AL$6</f>
        <v>25.396886995244092</v>
      </c>
    </row>
    <row r="7" spans="1:42" ht="11.25" customHeight="1" x14ac:dyDescent="0.3">
      <c r="A7" s="91"/>
      <c r="B7" s="91"/>
      <c r="C7" s="91"/>
      <c r="D7" s="91"/>
      <c r="E7" s="91"/>
      <c r="F7" s="91"/>
      <c r="G7" s="18" t="s">
        <v>74</v>
      </c>
      <c r="H7" s="18" t="s">
        <v>68</v>
      </c>
      <c r="I7" s="18">
        <f>'MERCADO TUSD'!$U$4</f>
        <v>2993.7760000000003</v>
      </c>
      <c r="J7" s="15"/>
      <c r="L7" s="13">
        <f>'TUSD BE'!$L$7*'TUSD BF'!$L$58</f>
        <v>0</v>
      </c>
      <c r="M7" s="13">
        <f>'TUSD BE'!$M$7*'TUSD BF'!$M$58</f>
        <v>0</v>
      </c>
      <c r="N7" s="13">
        <f ca="1">'TUSD BE'!$N$7*'TUSD BF'!$N$58</f>
        <v>0</v>
      </c>
      <c r="O7" s="13">
        <f>'TUSD BE'!$O$7*'TUSD BF'!$O$58</f>
        <v>0</v>
      </c>
      <c r="P7" s="13">
        <f>'TUSD BE'!$P$7*'TUSD BF'!$P$58</f>
        <v>0</v>
      </c>
      <c r="Q7" s="13">
        <f>'TUSD BE'!$Q$7*'TUSD BF'!$Q$58</f>
        <v>0</v>
      </c>
      <c r="R7" s="13">
        <f>'TUSD BE'!$R$7*'TUSD BF'!$R$58</f>
        <v>0</v>
      </c>
      <c r="S7" s="13">
        <f>'TUSD BE'!$R$7*'TUSD BF'!$S$58</f>
        <v>0</v>
      </c>
      <c r="T7" s="13">
        <f ca="1">SUM($L$7:$S$7)</f>
        <v>0</v>
      </c>
      <c r="U7" s="13">
        <f>'TUSD BE'!$U$7*'TUSD BF'!$U$58</f>
        <v>0</v>
      </c>
      <c r="V7" s="13">
        <f>'TUSD BE'!$V$7*'TUSD BF'!$V$58</f>
        <v>0</v>
      </c>
      <c r="W7" s="13">
        <f>'TUSD BE'!$W$7*'TUSD BF'!$W$58</f>
        <v>0</v>
      </c>
      <c r="X7" s="13">
        <f>'TUSD BE'!$X$7*'TUSD BF'!$X$58</f>
        <v>0</v>
      </c>
      <c r="Y7" s="13">
        <f>'TUSD BE'!$Y$7*'TUSD BF'!$Y$58</f>
        <v>0</v>
      </c>
      <c r="Z7" s="13">
        <f>'TUSD BE'!$Z$7*'TUSD BF'!$Z$58</f>
        <v>0</v>
      </c>
      <c r="AA7" s="13">
        <f>'TUSD BE'!$AA$7*'TUSD BF'!$AA$58</f>
        <v>0</v>
      </c>
      <c r="AB7" s="13">
        <f>SUM($U$7:$AA$7)</f>
        <v>0</v>
      </c>
      <c r="AC7" s="13">
        <f>'TUSD BE'!$AC$7*'TUSD BF'!$AC$58</f>
        <v>0</v>
      </c>
      <c r="AD7" s="13">
        <f>SUM($AC$7:$AC$7)</f>
        <v>0</v>
      </c>
      <c r="AE7" s="13">
        <f ca="1">$AO$7*$AO$55</f>
        <v>0</v>
      </c>
      <c r="AF7" s="13">
        <f ca="1">$AP$7*$AP$55</f>
        <v>0</v>
      </c>
      <c r="AG7" s="13">
        <f ca="1">SUM($AE$7:$AF$7)</f>
        <v>0</v>
      </c>
      <c r="AH7" s="13">
        <f>'TUSD BE'!$AH$7*'TUSD BF'!$AH$58</f>
        <v>0</v>
      </c>
      <c r="AI7" s="13">
        <f>'TUSD BE'!$AI$7*'TUSD BF'!$AI$58</f>
        <v>0</v>
      </c>
      <c r="AJ7" s="13">
        <f ca="1">'TUSD BE'!$AJ$7*'TUSD BF'!$AJ$58</f>
        <v>0</v>
      </c>
      <c r="AK7" s="13">
        <f ca="1">'TUSD BE'!$AK$7*'TUSD BF'!$AK$58</f>
        <v>0</v>
      </c>
      <c r="AL7" s="13">
        <f ca="1">SUM($AH$7:$AK$7)</f>
        <v>0</v>
      </c>
      <c r="AM7" s="13">
        <f ca="1">SUMIF($L$4:$AL$4,"SUBTOTAL",$L$7:$AL$7)</f>
        <v>0</v>
      </c>
      <c r="AO7" s="20">
        <f ca="1">+'TUSD BE'!$T$7+'TUSD BE'!$AB$7+'TUSD BE'!$AD$7+'TUSD BE'!$AL$7</f>
        <v>96.965155492110696</v>
      </c>
      <c r="AP7" s="20">
        <f ca="1">+'TUSD BE'!$T$7+'TUSD BE'!$AB$7+'TUSD BE'!$AD$7+'TUSD BE'!$AL$7</f>
        <v>96.965155492110696</v>
      </c>
    </row>
    <row r="8" spans="1:42" ht="11.25" customHeight="1" x14ac:dyDescent="0.3">
      <c r="A8" s="91"/>
      <c r="B8" s="91"/>
      <c r="C8" s="91"/>
      <c r="D8" s="91"/>
      <c r="E8" s="17" t="s">
        <v>75</v>
      </c>
      <c r="F8" s="17" t="s">
        <v>25</v>
      </c>
      <c r="G8" s="18" t="s">
        <v>74</v>
      </c>
      <c r="H8" s="18" t="s">
        <v>68</v>
      </c>
      <c r="I8" s="18">
        <f>'MERCADO TUSD'!$U$5</f>
        <v>0</v>
      </c>
      <c r="J8" s="15"/>
      <c r="L8" s="13">
        <f>'TUSD BE'!$L$8*'TUSD BF'!$L$58</f>
        <v>0</v>
      </c>
      <c r="M8" s="13">
        <f>'TUSD BE'!$M$8*'TUSD BF'!$M$58</f>
        <v>0</v>
      </c>
      <c r="N8" s="13">
        <f ca="1">'TUSD BE'!$N$8*'TUSD BF'!$N$58</f>
        <v>0</v>
      </c>
      <c r="O8" s="13">
        <f>'TUSD BE'!$O$8*'TUSD BF'!$O$58</f>
        <v>0</v>
      </c>
      <c r="P8" s="13">
        <f>'TUSD BE'!$P$8*'TUSD BF'!$P$58</f>
        <v>0</v>
      </c>
      <c r="Q8" s="13">
        <f>'TUSD BE'!$Q$8*'TUSD BF'!$Q$58</f>
        <v>0</v>
      </c>
      <c r="R8" s="13">
        <f>'TUSD BE'!$R$8*'TUSD BF'!$R$58</f>
        <v>0</v>
      </c>
      <c r="S8" s="13">
        <f>'TUSD BE'!$R$8*'TUSD BF'!$S$58</f>
        <v>0</v>
      </c>
      <c r="T8" s="13">
        <f ca="1">SUM($L$8:$S$8)</f>
        <v>0</v>
      </c>
      <c r="U8" s="13">
        <f>'TUSD BE'!$U$8*'TUSD BF'!$U$58</f>
        <v>0</v>
      </c>
      <c r="V8" s="13">
        <f>'TUSD BE'!$V$8*'TUSD BF'!$V$58</f>
        <v>0</v>
      </c>
      <c r="W8" s="13">
        <f>'TUSD BE'!$W$8*'TUSD BF'!$W$58</f>
        <v>0</v>
      </c>
      <c r="X8" s="13">
        <f>'TUSD BE'!$X$8*'TUSD BF'!$X$58</f>
        <v>0</v>
      </c>
      <c r="Y8" s="13">
        <f>'TUSD BE'!$Y$8*'TUSD BF'!$Y$58</f>
        <v>0</v>
      </c>
      <c r="Z8" s="13">
        <f>'TUSD BE'!$Z$8*'TUSD BF'!$Z$58</f>
        <v>0</v>
      </c>
      <c r="AA8" s="13">
        <f>'TUSD BE'!$AA$8*'TUSD BF'!$AA$58</f>
        <v>0</v>
      </c>
      <c r="AB8" s="13">
        <f>SUM($U$8:$AA$8)</f>
        <v>0</v>
      </c>
      <c r="AC8" s="13">
        <f>'TUSD BE'!$AC$8*'TUSD BF'!$AC$58</f>
        <v>0</v>
      </c>
      <c r="AD8" s="13">
        <f>SUM($AC$8:$AC$8)</f>
        <v>0</v>
      </c>
      <c r="AE8" s="13">
        <f ca="1">$AO$8*$AO$55</f>
        <v>0</v>
      </c>
      <c r="AF8" s="13">
        <f ca="1">$AP$8*$AP$55</f>
        <v>0</v>
      </c>
      <c r="AG8" s="13">
        <f ca="1">SUM($AE$8:$AF$8)</f>
        <v>0</v>
      </c>
      <c r="AH8" s="13">
        <f>'TUSD BE'!$AH$8*'TUSD BF'!$AH$58</f>
        <v>0</v>
      </c>
      <c r="AI8" s="13">
        <f>'TUSD BE'!$AI$8*'TUSD BF'!$AI$58</f>
        <v>0</v>
      </c>
      <c r="AJ8" s="13">
        <f ca="1">'TUSD BE'!$AJ$8*'TUSD BF'!$AJ$58</f>
        <v>0</v>
      </c>
      <c r="AK8" s="13">
        <f ca="1">'TUSD BE'!$AK$8*'TUSD BF'!$AK$58</f>
        <v>0</v>
      </c>
      <c r="AL8" s="13">
        <f ca="1">SUM($AH$8:$AK$8)</f>
        <v>0</v>
      </c>
      <c r="AM8" s="13">
        <f ca="1">SUMIF($L$4:$AL$4,"SUBTOTAL",$L$8:$AL$8)</f>
        <v>0</v>
      </c>
      <c r="AO8" s="20">
        <f ca="1">+'TUSD BE'!$T$8+'TUSD BE'!$AB$8+'TUSD BE'!$AD$8+'TUSD BE'!$AL$8</f>
        <v>7.1645600626892358</v>
      </c>
      <c r="AP8" s="20">
        <f ca="1">+'TUSD BE'!$T$8+'TUSD BE'!$AB$8+'TUSD BE'!$AD$8+'TUSD BE'!$AL$8</f>
        <v>7.1645600626892358</v>
      </c>
    </row>
    <row r="9" spans="1:42" ht="11.25" customHeight="1" x14ac:dyDescent="0.3">
      <c r="A9" s="91"/>
      <c r="B9" s="17" t="s">
        <v>76</v>
      </c>
      <c r="C9" s="17" t="s">
        <v>25</v>
      </c>
      <c r="D9" s="17" t="s">
        <v>25</v>
      </c>
      <c r="E9" s="17" t="s">
        <v>25</v>
      </c>
      <c r="F9" s="17" t="s">
        <v>25</v>
      </c>
      <c r="G9" s="18" t="s">
        <v>9</v>
      </c>
      <c r="H9" s="18" t="s">
        <v>71</v>
      </c>
      <c r="I9" s="18">
        <f>'MERCADO TUSD'!$U$6</f>
        <v>0</v>
      </c>
      <c r="J9" s="15"/>
      <c r="L9" s="13">
        <f>'TUSD BE'!$L$9*'TUSD BF'!$L$58</f>
        <v>0</v>
      </c>
      <c r="M9" s="13">
        <f>'TUSD BE'!$M$9*'TUSD BF'!$M$58</f>
        <v>0</v>
      </c>
      <c r="N9" s="13">
        <f ca="1">'TUSD BE'!$N$9*'TUSD BF'!$N$58</f>
        <v>0</v>
      </c>
      <c r="O9" s="13">
        <f>'TUSD BE'!$O$9*'TUSD BF'!$O$58</f>
        <v>0</v>
      </c>
      <c r="P9" s="13">
        <f>'TUSD BE'!$P$9*'TUSD BF'!$P$58</f>
        <v>0</v>
      </c>
      <c r="Q9" s="13">
        <f>'TUSD BE'!$Q$9*'TUSD BF'!$Q$58</f>
        <v>0</v>
      </c>
      <c r="R9" s="13">
        <f>'TUSD BE'!$R$9*'TUSD BF'!$R$58</f>
        <v>0</v>
      </c>
      <c r="S9" s="13">
        <f>'TUSD BE'!$R$9*'TUSD BF'!$S$58</f>
        <v>0</v>
      </c>
      <c r="T9" s="13">
        <f ca="1">SUM($L$9:$S$9)</f>
        <v>0</v>
      </c>
      <c r="U9" s="13">
        <f>'TUSD BE'!$U$9*'TUSD BF'!$U$58</f>
        <v>0</v>
      </c>
      <c r="V9" s="13">
        <f>'TUSD BE'!$V$9*'TUSD BF'!$V$58</f>
        <v>0</v>
      </c>
      <c r="W9" s="13">
        <f>'TUSD BE'!$W$9*'TUSD BF'!$W$58</f>
        <v>0</v>
      </c>
      <c r="X9" s="13">
        <f>'TUSD BE'!$X$9*'TUSD BF'!$X$58</f>
        <v>0</v>
      </c>
      <c r="Y9" s="13">
        <f>'TUSD BE'!$Y$9*'TUSD BF'!$Y$58</f>
        <v>0</v>
      </c>
      <c r="Z9" s="13">
        <f>'TUSD BE'!$Z$9*'TUSD BF'!$Z$58</f>
        <v>0</v>
      </c>
      <c r="AA9" s="13">
        <f>'TUSD BE'!$AA$9*'TUSD BF'!$AA$58</f>
        <v>0</v>
      </c>
      <c r="AB9" s="13">
        <f>SUM($U$9:$AA$9)</f>
        <v>0</v>
      </c>
      <c r="AC9" s="13">
        <f>'TUSD BE'!$AC$9*'TUSD BF'!$AC$58</f>
        <v>0</v>
      </c>
      <c r="AD9" s="13">
        <f>SUM($AC$9:$AC$9)</f>
        <v>0</v>
      </c>
      <c r="AE9" s="13">
        <f ca="1">$AO$9*$AO$55</f>
        <v>0</v>
      </c>
      <c r="AF9" s="13">
        <f ca="1">$AP$9*$AP$55</f>
        <v>0</v>
      </c>
      <c r="AG9" s="13">
        <f ca="1">SUM($AE$9:$AF$9)</f>
        <v>0</v>
      </c>
      <c r="AH9" s="13">
        <f>'TUSD BE'!$AH$9*'TUSD BF'!$AH$58</f>
        <v>0</v>
      </c>
      <c r="AI9" s="13">
        <f>'TUSD BE'!$AI$9*'TUSD BF'!$AI$58</f>
        <v>0</v>
      </c>
      <c r="AJ9" s="13">
        <f ca="1">'TUSD BE'!$AJ$9*'TUSD BF'!$AJ$58</f>
        <v>0</v>
      </c>
      <c r="AK9" s="13">
        <f ca="1">'TUSD BE'!$AK$9*'TUSD BF'!$AK$58</f>
        <v>0</v>
      </c>
      <c r="AL9" s="13">
        <f ca="1">SUM($AH$9:$AK$9)</f>
        <v>0</v>
      </c>
      <c r="AM9" s="13">
        <f ca="1">SUMIF($L$4:$AL$4,"SUBTOTAL",$L$9:$AL$9)</f>
        <v>0</v>
      </c>
      <c r="AO9" s="20">
        <f ca="1">+'TUSD BE'!$T$9+'TUSD BE'!$AB$9+'TUSD BE'!$AD$9+'TUSD BE'!$AL$9</f>
        <v>5.9097006107951522</v>
      </c>
      <c r="AP9" s="20">
        <f ca="1">+'TUSD BE'!$T$9+'TUSD BE'!$AB$9+'TUSD BE'!$AD$9+'TUSD BE'!$AL$9</f>
        <v>5.9097006107951522</v>
      </c>
    </row>
    <row r="10" spans="1:42" ht="11.25" customHeight="1" x14ac:dyDescent="0.3">
      <c r="A10" s="91"/>
      <c r="B10" s="91" t="s">
        <v>37</v>
      </c>
      <c r="C10" s="91" t="s">
        <v>25</v>
      </c>
      <c r="D10" s="91" t="s">
        <v>25</v>
      </c>
      <c r="E10" s="91" t="s">
        <v>25</v>
      </c>
      <c r="F10" s="91" t="s">
        <v>25</v>
      </c>
      <c r="G10" s="18" t="s">
        <v>9</v>
      </c>
      <c r="H10" s="18" t="s">
        <v>71</v>
      </c>
      <c r="I10" s="18">
        <f>'MERCADO TUSD'!$U$7</f>
        <v>36616</v>
      </c>
      <c r="J10" s="15"/>
      <c r="L10" s="13">
        <f>'TUSD BE'!$L$10*'TUSD BF'!$L$58</f>
        <v>0</v>
      </c>
      <c r="M10" s="13">
        <f>'TUSD BE'!$M$10*'TUSD BF'!$M$58</f>
        <v>0</v>
      </c>
      <c r="N10" s="13">
        <f ca="1">'TUSD BE'!$N$10*'TUSD BF'!$N$58</f>
        <v>0</v>
      </c>
      <c r="O10" s="13">
        <f>'TUSD BE'!$O$10*'TUSD BF'!$O$58</f>
        <v>0</v>
      </c>
      <c r="P10" s="13">
        <f>'TUSD BE'!$P$10*'TUSD BF'!$P$58</f>
        <v>0</v>
      </c>
      <c r="Q10" s="13">
        <f>'TUSD BE'!$Q$10*'TUSD BF'!$Q$58</f>
        <v>0</v>
      </c>
      <c r="R10" s="13">
        <f>'TUSD BE'!$R$10*'TUSD BF'!$R$58</f>
        <v>0</v>
      </c>
      <c r="S10" s="13">
        <f>'TUSD BE'!$R$10*'TUSD BF'!$S$58</f>
        <v>0</v>
      </c>
      <c r="T10" s="13">
        <f ca="1">SUM($L$10:$S$10)</f>
        <v>0</v>
      </c>
      <c r="U10" s="13">
        <f>'TUSD BE'!$U$10*'TUSD BF'!$U$58</f>
        <v>0</v>
      </c>
      <c r="V10" s="13">
        <f>'TUSD BE'!$V$10*'TUSD BF'!$V$58</f>
        <v>0</v>
      </c>
      <c r="W10" s="13">
        <f>'TUSD BE'!$W$10*'TUSD BF'!$W$58</f>
        <v>0</v>
      </c>
      <c r="X10" s="13">
        <f>'TUSD BE'!$X$10*'TUSD BF'!$X$58</f>
        <v>0</v>
      </c>
      <c r="Y10" s="13">
        <f>'TUSD BE'!$Y$10*'TUSD BF'!$Y$58</f>
        <v>0</v>
      </c>
      <c r="Z10" s="13">
        <f>'TUSD BE'!$Z$10*'TUSD BF'!$Z$58</f>
        <v>0</v>
      </c>
      <c r="AA10" s="13">
        <f>'TUSD BE'!$AA$10*'TUSD BF'!$AA$58</f>
        <v>0</v>
      </c>
      <c r="AB10" s="13">
        <f>SUM($U$10:$AA$10)</f>
        <v>0</v>
      </c>
      <c r="AC10" s="13">
        <f>'TUSD BE'!$AC$10*'TUSD BF'!$AC$58</f>
        <v>0</v>
      </c>
      <c r="AD10" s="13">
        <f>SUM($AC$10:$AC$10)</f>
        <v>0</v>
      </c>
      <c r="AE10" s="13">
        <f ca="1">$AO$10*$AO$55</f>
        <v>0</v>
      </c>
      <c r="AF10" s="13">
        <f ca="1">$AP$10*$AP$55</f>
        <v>0</v>
      </c>
      <c r="AG10" s="13">
        <f ca="1">SUM($AE$10:$AF$10)</f>
        <v>0</v>
      </c>
      <c r="AH10" s="13">
        <f>'TUSD BE'!$AH$10*'TUSD BF'!$AH$58</f>
        <v>0</v>
      </c>
      <c r="AI10" s="13">
        <f>'TUSD BE'!$AI$10*'TUSD BF'!$AI$58</f>
        <v>0</v>
      </c>
      <c r="AJ10" s="13">
        <f ca="1">'TUSD BE'!$AJ$10*'TUSD BF'!$AJ$58</f>
        <v>0</v>
      </c>
      <c r="AK10" s="13">
        <f ca="1">'TUSD BE'!$AK$10*'TUSD BF'!$AK$58</f>
        <v>0</v>
      </c>
      <c r="AL10" s="13">
        <f ca="1">SUM($AH$10:$AK$10)</f>
        <v>0</v>
      </c>
      <c r="AM10" s="13">
        <f ca="1">SUMIF($L$4:$AL$4,"SUBTOTAL",$L$10:$AL$10)</f>
        <v>0</v>
      </c>
      <c r="AO10" s="20">
        <f ca="1">+'TUSD BE'!$T$10+'TUSD BE'!$AB$10+'TUSD BE'!$AD$10+'TUSD BE'!$AL$10</f>
        <v>25.396886995244092</v>
      </c>
      <c r="AP10" s="20">
        <f ca="1">+'TUSD BE'!$T$10+'TUSD BE'!$AB$10+'TUSD BE'!$AD$10+'TUSD BE'!$AL$10</f>
        <v>25.396886995244092</v>
      </c>
    </row>
    <row r="11" spans="1:42" ht="11.25" customHeight="1" x14ac:dyDescent="0.3">
      <c r="A11" s="91"/>
      <c r="B11" s="91"/>
      <c r="C11" s="91"/>
      <c r="D11" s="91"/>
      <c r="E11" s="91"/>
      <c r="F11" s="91"/>
      <c r="G11" s="18" t="s">
        <v>69</v>
      </c>
      <c r="H11" s="18" t="s">
        <v>68</v>
      </c>
      <c r="I11" s="18">
        <f>'MERCADO TUSD'!$U$8</f>
        <v>561.45399999999995</v>
      </c>
      <c r="J11" s="15"/>
      <c r="L11" s="13">
        <f>'TUSD BE'!$L$11*'TUSD BF'!$L$58</f>
        <v>0</v>
      </c>
      <c r="M11" s="13">
        <f>'TUSD BE'!$M$11*'TUSD BF'!$M$58</f>
        <v>0</v>
      </c>
      <c r="N11" s="13">
        <f ca="1">'TUSD BE'!$N$11*'TUSD BF'!$N$58</f>
        <v>0</v>
      </c>
      <c r="O11" s="13">
        <f>'TUSD BE'!$O$11*'TUSD BF'!$O$58</f>
        <v>0</v>
      </c>
      <c r="P11" s="13">
        <f>'TUSD BE'!$P$11*'TUSD BF'!$P$58</f>
        <v>0</v>
      </c>
      <c r="Q11" s="13">
        <f>'TUSD BE'!$Q$11*'TUSD BF'!$Q$58</f>
        <v>0</v>
      </c>
      <c r="R11" s="13">
        <f>'TUSD BE'!$R$11*'TUSD BF'!$R$58</f>
        <v>0</v>
      </c>
      <c r="S11" s="13">
        <f>'TUSD BE'!$R$11*'TUSD BF'!$S$58</f>
        <v>0</v>
      </c>
      <c r="T11" s="13">
        <f ca="1">SUM($L$11:$S$11)</f>
        <v>0</v>
      </c>
      <c r="U11" s="13">
        <f>'TUSD BE'!$U$11*'TUSD BF'!$U$58</f>
        <v>0</v>
      </c>
      <c r="V11" s="13">
        <f>'TUSD BE'!$V$11*'TUSD BF'!$V$58</f>
        <v>0</v>
      </c>
      <c r="W11" s="13">
        <f>'TUSD BE'!$W$11*'TUSD BF'!$W$58</f>
        <v>0</v>
      </c>
      <c r="X11" s="13">
        <f>'TUSD BE'!$X$11*'TUSD BF'!$X$58</f>
        <v>0</v>
      </c>
      <c r="Y11" s="13">
        <f>'TUSD BE'!$Y$11*'TUSD BF'!$Y$58</f>
        <v>0</v>
      </c>
      <c r="Z11" s="13">
        <f>'TUSD BE'!$Z$11*'TUSD BF'!$Z$58</f>
        <v>0</v>
      </c>
      <c r="AA11" s="13">
        <f>'TUSD BE'!$AA$11*'TUSD BF'!$AA$58</f>
        <v>0</v>
      </c>
      <c r="AB11" s="13">
        <f>SUM($U$11:$AA$11)</f>
        <v>0</v>
      </c>
      <c r="AC11" s="13">
        <f>'TUSD BE'!$AC$11*'TUSD BF'!$AC$58</f>
        <v>0</v>
      </c>
      <c r="AD11" s="13">
        <f>SUM($AC$11:$AC$11)</f>
        <v>0</v>
      </c>
      <c r="AE11" s="13">
        <f ca="1">$AO$11*$AO$55</f>
        <v>0</v>
      </c>
      <c r="AF11" s="13">
        <f ca="1">$AP$11*$AP$55</f>
        <v>0</v>
      </c>
      <c r="AG11" s="13">
        <f ca="1">SUM($AE$11:$AF$11)</f>
        <v>0</v>
      </c>
      <c r="AH11" s="13">
        <f>'TUSD BE'!$AH$11*'TUSD BF'!$AH$58</f>
        <v>0</v>
      </c>
      <c r="AI11" s="13">
        <f>'TUSD BE'!$AI$11*'TUSD BF'!$AI$58</f>
        <v>0</v>
      </c>
      <c r="AJ11" s="13">
        <f ca="1">'TUSD BE'!$AJ$11*'TUSD BF'!$AJ$58</f>
        <v>0</v>
      </c>
      <c r="AK11" s="13">
        <f ca="1">'TUSD BE'!$AK$11*'TUSD BF'!$AK$58</f>
        <v>0</v>
      </c>
      <c r="AL11" s="13">
        <f ca="1">SUM($AH$11:$AK$11)</f>
        <v>0</v>
      </c>
      <c r="AM11" s="13">
        <f ca="1">SUMIF($L$4:$AL$4,"SUBTOTAL",$L$11:$AL$11)</f>
        <v>0</v>
      </c>
      <c r="AO11" s="20">
        <f ca="1">+'TUSD BE'!$T$11+'TUSD BE'!$AB$11+'TUSD BE'!$AD$11+'TUSD BE'!$AL$11</f>
        <v>1954.8371475229897</v>
      </c>
      <c r="AP11" s="20">
        <f ca="1">+'TUSD BE'!$T$11+'TUSD BE'!$AB$11+'TUSD BE'!$AD$11+'TUSD BE'!$AL$11</f>
        <v>1954.8371475229897</v>
      </c>
    </row>
    <row r="12" spans="1:42" ht="11.25" customHeight="1" x14ac:dyDescent="0.3">
      <c r="A12" s="91"/>
      <c r="B12" s="91"/>
      <c r="C12" s="91"/>
      <c r="D12" s="91"/>
      <c r="E12" s="91"/>
      <c r="F12" s="91"/>
      <c r="G12" s="18" t="s">
        <v>70</v>
      </c>
      <c r="H12" s="18" t="s">
        <v>68</v>
      </c>
      <c r="I12" s="18">
        <f>'MERCADO TUSD'!$U$9</f>
        <v>7702.3809999999985</v>
      </c>
      <c r="J12" s="15"/>
      <c r="L12" s="13">
        <f>'TUSD BE'!$L$12*'TUSD BF'!$L$58</f>
        <v>0</v>
      </c>
      <c r="M12" s="13">
        <f>'TUSD BE'!$M$12*'TUSD BF'!$M$58</f>
        <v>0</v>
      </c>
      <c r="N12" s="13">
        <f ca="1">'TUSD BE'!$N$12*'TUSD BF'!$N$58</f>
        <v>0</v>
      </c>
      <c r="O12" s="13">
        <f>'TUSD BE'!$O$12*'TUSD BF'!$O$58</f>
        <v>0</v>
      </c>
      <c r="P12" s="13">
        <f>'TUSD BE'!$P$12*'TUSD BF'!$P$58</f>
        <v>0</v>
      </c>
      <c r="Q12" s="13">
        <f>'TUSD BE'!$Q$12*'TUSD BF'!$Q$58</f>
        <v>0</v>
      </c>
      <c r="R12" s="13">
        <f>'TUSD BE'!$R$12*'TUSD BF'!$R$58</f>
        <v>0</v>
      </c>
      <c r="S12" s="13">
        <f>'TUSD BE'!$R$12*'TUSD BF'!$S$58</f>
        <v>0</v>
      </c>
      <c r="T12" s="13">
        <f ca="1">SUM($L$12:$S$12)</f>
        <v>0</v>
      </c>
      <c r="U12" s="13">
        <f>'TUSD BE'!$U$12*'TUSD BF'!$U$58</f>
        <v>0</v>
      </c>
      <c r="V12" s="13">
        <f>'TUSD BE'!$V$12*'TUSD BF'!$V$58</f>
        <v>0</v>
      </c>
      <c r="W12" s="13">
        <f>'TUSD BE'!$W$12*'TUSD BF'!$W$58</f>
        <v>0</v>
      </c>
      <c r="X12" s="13">
        <f>'TUSD BE'!$X$12*'TUSD BF'!$X$58</f>
        <v>0</v>
      </c>
      <c r="Y12" s="13">
        <f>'TUSD BE'!$Y$12*'TUSD BF'!$Y$58</f>
        <v>0</v>
      </c>
      <c r="Z12" s="13">
        <f>'TUSD BE'!$Z$12*'TUSD BF'!$Z$58</f>
        <v>0</v>
      </c>
      <c r="AA12" s="13">
        <f>'TUSD BE'!$AA$12*'TUSD BF'!$AA$58</f>
        <v>0</v>
      </c>
      <c r="AB12" s="13">
        <f>SUM($U$12:$AA$12)</f>
        <v>0</v>
      </c>
      <c r="AC12" s="13">
        <f>'TUSD BE'!$AC$12*'TUSD BF'!$AC$58</f>
        <v>0</v>
      </c>
      <c r="AD12" s="13">
        <f>SUM($AC$12:$AC$12)</f>
        <v>0</v>
      </c>
      <c r="AE12" s="13">
        <f ca="1">$AO$12*$AO$55</f>
        <v>0</v>
      </c>
      <c r="AF12" s="13">
        <f ca="1">$AP$12*$AP$55</f>
        <v>0</v>
      </c>
      <c r="AG12" s="13">
        <f ca="1">SUM($AE$12:$AF$12)</f>
        <v>0</v>
      </c>
      <c r="AH12" s="13">
        <f>'TUSD BE'!$AH$12*'TUSD BF'!$AH$58</f>
        <v>0</v>
      </c>
      <c r="AI12" s="13">
        <f>'TUSD BE'!$AI$12*'TUSD BF'!$AI$58</f>
        <v>0</v>
      </c>
      <c r="AJ12" s="13">
        <f ca="1">'TUSD BE'!$AJ$12*'TUSD BF'!$AJ$58</f>
        <v>0</v>
      </c>
      <c r="AK12" s="13">
        <f ca="1">'TUSD BE'!$AK$12*'TUSD BF'!$AK$58</f>
        <v>0</v>
      </c>
      <c r="AL12" s="13">
        <f ca="1">SUM($AH$12:$AK$12)</f>
        <v>0</v>
      </c>
      <c r="AM12" s="13">
        <f ca="1">SUMIF($L$4:$AL$4,"SUBTOTAL",$L$12:$AL$12)</f>
        <v>0</v>
      </c>
      <c r="AO12" s="20">
        <f ca="1">+'TUSD BE'!$T$12+'TUSD BE'!$AB$12+'TUSD BE'!$AD$12+'TUSD BE'!$AL$12</f>
        <v>96.965155492110696</v>
      </c>
      <c r="AP12" s="20">
        <f ca="1">+'TUSD BE'!$T$12+'TUSD BE'!$AB$12+'TUSD BE'!$AD$12+'TUSD BE'!$AL$12</f>
        <v>96.965155492110696</v>
      </c>
    </row>
    <row r="13" spans="1:42" ht="11.25" customHeight="1" x14ac:dyDescent="0.3">
      <c r="A13" s="91"/>
      <c r="B13" s="91"/>
      <c r="C13" s="91"/>
      <c r="D13" s="91"/>
      <c r="E13" s="91" t="s">
        <v>75</v>
      </c>
      <c r="F13" s="91" t="s">
        <v>25</v>
      </c>
      <c r="G13" s="18" t="s">
        <v>69</v>
      </c>
      <c r="H13" s="18" t="s">
        <v>68</v>
      </c>
      <c r="I13" s="18">
        <f>'MERCADO TUSD'!$U$10</f>
        <v>0</v>
      </c>
      <c r="J13" s="15"/>
      <c r="L13" s="13">
        <f>'TUSD BE'!$L$13*'TUSD BF'!$L$58</f>
        <v>0</v>
      </c>
      <c r="M13" s="13">
        <f>'TUSD BE'!$M$13*'TUSD BF'!$M$58</f>
        <v>0</v>
      </c>
      <c r="N13" s="13">
        <f ca="1">'TUSD BE'!$N$13*'TUSD BF'!$N$58</f>
        <v>0</v>
      </c>
      <c r="O13" s="13">
        <f>'TUSD BE'!$O$13*'TUSD BF'!$O$58</f>
        <v>0</v>
      </c>
      <c r="P13" s="13">
        <f>'TUSD BE'!$P$13*'TUSD BF'!$P$58</f>
        <v>0</v>
      </c>
      <c r="Q13" s="13">
        <f>'TUSD BE'!$Q$13*'TUSD BF'!$Q$58</f>
        <v>0</v>
      </c>
      <c r="R13" s="13">
        <f>'TUSD BE'!$R$13*'TUSD BF'!$R$58</f>
        <v>0</v>
      </c>
      <c r="S13" s="13">
        <f>'TUSD BE'!$R$13*'TUSD BF'!$S$58</f>
        <v>0</v>
      </c>
      <c r="T13" s="13">
        <f ca="1">SUM($L$13:$S$13)</f>
        <v>0</v>
      </c>
      <c r="U13" s="13">
        <f>'TUSD BE'!$U$13*'TUSD BF'!$U$58</f>
        <v>0</v>
      </c>
      <c r="V13" s="13">
        <f>'TUSD BE'!$V$13*'TUSD BF'!$V$58</f>
        <v>0</v>
      </c>
      <c r="W13" s="13">
        <f>'TUSD BE'!$W$13*'TUSD BF'!$W$58</f>
        <v>0</v>
      </c>
      <c r="X13" s="13">
        <f>'TUSD BE'!$X$13*'TUSD BF'!$X$58</f>
        <v>0</v>
      </c>
      <c r="Y13" s="13">
        <f>'TUSD BE'!$Y$13*'TUSD BF'!$Y$58</f>
        <v>0</v>
      </c>
      <c r="Z13" s="13">
        <f>'TUSD BE'!$Z$13*'TUSD BF'!$Z$58</f>
        <v>0</v>
      </c>
      <c r="AA13" s="13">
        <f>'TUSD BE'!$AA$13*'TUSD BF'!$AA$58</f>
        <v>0</v>
      </c>
      <c r="AB13" s="13">
        <f>SUM($U$13:$AA$13)</f>
        <v>0</v>
      </c>
      <c r="AC13" s="13">
        <f>'TUSD BE'!$AC$13*'TUSD BF'!$AC$58</f>
        <v>0</v>
      </c>
      <c r="AD13" s="13">
        <f>SUM($AC$13:$AC$13)</f>
        <v>0</v>
      </c>
      <c r="AE13" s="13">
        <f ca="1">$AO$13*$AO$55</f>
        <v>0</v>
      </c>
      <c r="AF13" s="13">
        <f ca="1">$AP$13*$AP$55</f>
        <v>0</v>
      </c>
      <c r="AG13" s="13">
        <f ca="1">SUM($AE$13:$AF$13)</f>
        <v>0</v>
      </c>
      <c r="AH13" s="13">
        <f>'TUSD BE'!$AH$13*'TUSD BF'!$AH$58</f>
        <v>0</v>
      </c>
      <c r="AI13" s="13">
        <f>'TUSD BE'!$AI$13*'TUSD BF'!$AI$58</f>
        <v>0</v>
      </c>
      <c r="AJ13" s="13">
        <f ca="1">'TUSD BE'!$AJ$13*'TUSD BF'!$AJ$58</f>
        <v>0</v>
      </c>
      <c r="AK13" s="13">
        <f ca="1">'TUSD BE'!$AK$13*'TUSD BF'!$AK$58</f>
        <v>0</v>
      </c>
      <c r="AL13" s="13">
        <f ca="1">SUM($AH$13:$AK$13)</f>
        <v>0</v>
      </c>
      <c r="AM13" s="13">
        <f ca="1">SUMIF($L$4:$AL$4,"SUBTOTAL",$L$13:$AL$13)</f>
        <v>0</v>
      </c>
      <c r="AO13" s="20">
        <f ca="1">+'TUSD BE'!$T$13+'TUSD BE'!$AB$13+'TUSD BE'!$AD$13+'TUSD BE'!$AL$13</f>
        <v>1865.0365520935679</v>
      </c>
      <c r="AP13" s="20">
        <f ca="1">+'TUSD BE'!$T$13+'TUSD BE'!$AB$13+'TUSD BE'!$AD$13+'TUSD BE'!$AL$13</f>
        <v>1865.0365520935679</v>
      </c>
    </row>
    <row r="14" spans="1:42" ht="11.25" customHeight="1" x14ac:dyDescent="0.3">
      <c r="A14" s="91"/>
      <c r="B14" s="91"/>
      <c r="C14" s="91"/>
      <c r="D14" s="91"/>
      <c r="E14" s="91"/>
      <c r="F14" s="91"/>
      <c r="G14" s="18" t="s">
        <v>70</v>
      </c>
      <c r="H14" s="18" t="s">
        <v>68</v>
      </c>
      <c r="I14" s="18">
        <f>'MERCADO TUSD'!$U$11</f>
        <v>0</v>
      </c>
      <c r="J14" s="15"/>
      <c r="L14" s="13">
        <f>'TUSD BE'!$L$14*'TUSD BF'!$L$58</f>
        <v>0</v>
      </c>
      <c r="M14" s="13">
        <f>'TUSD BE'!$M$14*'TUSD BF'!$M$58</f>
        <v>0</v>
      </c>
      <c r="N14" s="13">
        <f ca="1">'TUSD BE'!$N$14*'TUSD BF'!$N$58</f>
        <v>0</v>
      </c>
      <c r="O14" s="13">
        <f>'TUSD BE'!$O$14*'TUSD BF'!$O$58</f>
        <v>0</v>
      </c>
      <c r="P14" s="13">
        <f>'TUSD BE'!$P$14*'TUSD BF'!$P$58</f>
        <v>0</v>
      </c>
      <c r="Q14" s="13">
        <f>'TUSD BE'!$Q$14*'TUSD BF'!$Q$58</f>
        <v>0</v>
      </c>
      <c r="R14" s="13">
        <f>'TUSD BE'!$R$14*'TUSD BF'!$R$58</f>
        <v>0</v>
      </c>
      <c r="S14" s="13">
        <f>'TUSD BE'!$R$14*'TUSD BF'!$S$58</f>
        <v>0</v>
      </c>
      <c r="T14" s="13">
        <f ca="1">SUM($L$14:$S$14)</f>
        <v>0</v>
      </c>
      <c r="U14" s="13">
        <f>'TUSD BE'!$U$14*'TUSD BF'!$U$58</f>
        <v>0</v>
      </c>
      <c r="V14" s="13">
        <f>'TUSD BE'!$V$14*'TUSD BF'!$V$58</f>
        <v>0</v>
      </c>
      <c r="W14" s="13">
        <f>'TUSD BE'!$W$14*'TUSD BF'!$W$58</f>
        <v>0</v>
      </c>
      <c r="X14" s="13">
        <f>'TUSD BE'!$X$14*'TUSD BF'!$X$58</f>
        <v>0</v>
      </c>
      <c r="Y14" s="13">
        <f>'TUSD BE'!$Y$14*'TUSD BF'!$Y$58</f>
        <v>0</v>
      </c>
      <c r="Z14" s="13">
        <f>'TUSD BE'!$Z$14*'TUSD BF'!$Z$58</f>
        <v>0</v>
      </c>
      <c r="AA14" s="13">
        <f>'TUSD BE'!$AA$14*'TUSD BF'!$AA$58</f>
        <v>0</v>
      </c>
      <c r="AB14" s="13">
        <f>SUM($U$14:$AA$14)</f>
        <v>0</v>
      </c>
      <c r="AC14" s="13">
        <f>'TUSD BE'!$AC$14*'TUSD BF'!$AC$58</f>
        <v>0</v>
      </c>
      <c r="AD14" s="13">
        <f>SUM($AC$14:$AC$14)</f>
        <v>0</v>
      </c>
      <c r="AE14" s="13">
        <f ca="1">$AO$14*$AO$55</f>
        <v>0</v>
      </c>
      <c r="AF14" s="13">
        <f ca="1">$AP$14*$AP$55</f>
        <v>0</v>
      </c>
      <c r="AG14" s="13">
        <f ca="1">SUM($AE$14:$AF$14)</f>
        <v>0</v>
      </c>
      <c r="AH14" s="13">
        <f>'TUSD BE'!$AH$14*'TUSD BF'!$AH$58</f>
        <v>0</v>
      </c>
      <c r="AI14" s="13">
        <f>'TUSD BE'!$AI$14*'TUSD BF'!$AI$58</f>
        <v>0</v>
      </c>
      <c r="AJ14" s="13">
        <f ca="1">'TUSD BE'!$AJ$14*'TUSD BF'!$AJ$58</f>
        <v>0</v>
      </c>
      <c r="AK14" s="13">
        <f ca="1">'TUSD BE'!$AK$14*'TUSD BF'!$AK$58</f>
        <v>0</v>
      </c>
      <c r="AL14" s="13">
        <f ca="1">SUM($AH$14:$AK$14)</f>
        <v>0</v>
      </c>
      <c r="AM14" s="13">
        <f ca="1">SUMIF($L$4:$AL$4,"SUBTOTAL",$L$14:$AL$14)</f>
        <v>0</v>
      </c>
      <c r="AO14" s="20">
        <f ca="1">+'TUSD BE'!$T$14+'TUSD BE'!$AB$14+'TUSD BE'!$AD$14+'TUSD BE'!$AL$14</f>
        <v>7.1645600626892358</v>
      </c>
      <c r="AP14" s="20">
        <f ca="1">+'TUSD BE'!$T$14+'TUSD BE'!$AB$14+'TUSD BE'!$AD$14+'TUSD BE'!$AL$14</f>
        <v>7.1645600626892358</v>
      </c>
    </row>
    <row r="15" spans="1:42" ht="11.25" customHeight="1" x14ac:dyDescent="0.3">
      <c r="A15" s="91" t="s">
        <v>77</v>
      </c>
      <c r="B15" s="91" t="s">
        <v>76</v>
      </c>
      <c r="C15" s="91" t="s">
        <v>25</v>
      </c>
      <c r="D15" s="91" t="s">
        <v>25</v>
      </c>
      <c r="E15" s="17" t="s">
        <v>78</v>
      </c>
      <c r="F15" s="17" t="s">
        <v>25</v>
      </c>
      <c r="G15" s="18" t="s">
        <v>9</v>
      </c>
      <c r="H15" s="18" t="s">
        <v>71</v>
      </c>
      <c r="I15" s="18">
        <f>'MERCADO TUSD'!$U$12+0.00000001</f>
        <v>1E-8</v>
      </c>
      <c r="J15" s="15"/>
      <c r="L15" s="13">
        <f>'TUSD BE'!$L$15*'TUSD BF'!$L$58</f>
        <v>0</v>
      </c>
      <c r="M15" s="13">
        <f>'TUSD BE'!$M$15*'TUSD BF'!$M$58</f>
        <v>0</v>
      </c>
      <c r="N15" s="13">
        <f ca="1">'TUSD BE'!$N$15*'TUSD BF'!$N$58</f>
        <v>0</v>
      </c>
      <c r="O15" s="13">
        <f>'TUSD BE'!$O$15*'TUSD BF'!$O$58</f>
        <v>0</v>
      </c>
      <c r="P15" s="13">
        <f>'TUSD BE'!$P$15*'TUSD BF'!$P$58</f>
        <v>0</v>
      </c>
      <c r="Q15" s="13">
        <f>'TUSD BE'!$Q$15*'TUSD BF'!$Q$58</f>
        <v>0</v>
      </c>
      <c r="R15" s="13">
        <f>'TUSD BE'!$R$15*'TUSD BF'!$R$58</f>
        <v>0</v>
      </c>
      <c r="S15" s="13">
        <f>'TUSD BE'!$R$15*'TUSD BF'!$S$58</f>
        <v>0</v>
      </c>
      <c r="T15" s="13">
        <f ca="1">SUM($L$15:$S$15)</f>
        <v>0</v>
      </c>
      <c r="U15" s="13">
        <f>'TUSD BE'!$U$15*'TUSD BF'!$U$58</f>
        <v>0</v>
      </c>
      <c r="V15" s="13">
        <f>'TUSD BE'!$V$15*'TUSD BF'!$V$58</f>
        <v>0</v>
      </c>
      <c r="W15" s="13">
        <f>'TUSD BE'!$W$15*'TUSD BF'!$W$58</f>
        <v>0</v>
      </c>
      <c r="X15" s="13">
        <f>'TUSD BE'!$X$15*'TUSD BF'!$X$58</f>
        <v>0</v>
      </c>
      <c r="Y15" s="13">
        <f>'TUSD BE'!$Y$15*'TUSD BF'!$Y$58</f>
        <v>0</v>
      </c>
      <c r="Z15" s="13">
        <f>'TUSD BE'!$Z$15*'TUSD BF'!$Z$58</f>
        <v>0</v>
      </c>
      <c r="AA15" s="13">
        <f>'TUSD BE'!$AA$15*'TUSD BF'!$AA$58</f>
        <v>0</v>
      </c>
      <c r="AB15" s="13">
        <f>SUM($U$15:$AA$15)</f>
        <v>0</v>
      </c>
      <c r="AC15" s="13">
        <f>'TUSD BE'!$AC$15*'TUSD BF'!$AC$58</f>
        <v>0</v>
      </c>
      <c r="AD15" s="13">
        <f>SUM($AC$15:$AC$15)</f>
        <v>0</v>
      </c>
      <c r="AE15" s="13">
        <f ca="1">$AO$15*$AO$55</f>
        <v>0</v>
      </c>
      <c r="AF15" s="13">
        <f ca="1">$AP$15*$AP$55</f>
        <v>0</v>
      </c>
      <c r="AG15" s="13">
        <f ca="1">SUM($AE$15:$AF$15)</f>
        <v>0</v>
      </c>
      <c r="AH15" s="13">
        <f>'TUSD BE'!$AH$15*'TUSD BF'!$AH$58</f>
        <v>0</v>
      </c>
      <c r="AI15" s="13">
        <f>'TUSD BE'!$AI$15*'TUSD BF'!$AI$58</f>
        <v>0</v>
      </c>
      <c r="AJ15" s="13">
        <f ca="1">'TUSD BE'!$AJ$15*'TUSD BF'!$AJ$58</f>
        <v>0</v>
      </c>
      <c r="AK15" s="13">
        <f ca="1">'TUSD BE'!$AK$15*'TUSD BF'!$AK$58</f>
        <v>0</v>
      </c>
      <c r="AL15" s="13">
        <f ca="1">SUM($AH$15:$AK$15)</f>
        <v>0</v>
      </c>
      <c r="AM15" s="13">
        <f ca="1">SUMIF($L$4:$AL$4,"SUBTOTAL",$L$15:$AL$15)</f>
        <v>0</v>
      </c>
      <c r="AO15" s="20">
        <f ca="1">+'TUSD BE'!$T$15+'TUSD BE'!$AB$15+'TUSD BE'!$AD$15+'TUSD BE'!$AL$15</f>
        <v>6.0958336517825282</v>
      </c>
      <c r="AP15" s="20">
        <f ca="1">+'TUSD BE'!$T$15+'TUSD BE'!$AB$15+'TUSD BE'!$AD$15+'TUSD BE'!$AL$15</f>
        <v>6.0958336517825282</v>
      </c>
    </row>
    <row r="16" spans="1:42" ht="11.25" customHeight="1" x14ac:dyDescent="0.3">
      <c r="A16" s="91"/>
      <c r="B16" s="91"/>
      <c r="C16" s="91"/>
      <c r="D16" s="91"/>
      <c r="E16" s="17" t="s">
        <v>79</v>
      </c>
      <c r="F16" s="17" t="s">
        <v>25</v>
      </c>
      <c r="G16" s="18" t="s">
        <v>9</v>
      </c>
      <c r="H16" s="18" t="s">
        <v>71</v>
      </c>
      <c r="I16" s="18">
        <f>'MERCADO TUSD'!$U$13+0.00000001</f>
        <v>1E-8</v>
      </c>
      <c r="J16" s="15"/>
      <c r="L16" s="13">
        <f>'TUSD BE'!$L$16*'TUSD BF'!$L$58</f>
        <v>0</v>
      </c>
      <c r="M16" s="13">
        <f>'TUSD BE'!$M$16*'TUSD BF'!$M$58</f>
        <v>0</v>
      </c>
      <c r="N16" s="13">
        <f ca="1">'TUSD BE'!$N$16*'TUSD BF'!$N$58</f>
        <v>0</v>
      </c>
      <c r="O16" s="13">
        <f>'TUSD BE'!$O$16*'TUSD BF'!$O$58</f>
        <v>0</v>
      </c>
      <c r="P16" s="13">
        <f>'TUSD BE'!$P$16*'TUSD BF'!$P$58</f>
        <v>0</v>
      </c>
      <c r="Q16" s="13">
        <f>'TUSD BE'!$Q$16*'TUSD BF'!$Q$58</f>
        <v>0</v>
      </c>
      <c r="R16" s="13">
        <f>'TUSD BE'!$R$16*'TUSD BF'!$R$58</f>
        <v>0</v>
      </c>
      <c r="S16" s="13">
        <f>'TUSD BE'!$R$16*'TUSD BF'!$S$58</f>
        <v>0</v>
      </c>
      <c r="T16" s="13">
        <f ca="1">SUM($L$16:$S$16)</f>
        <v>0</v>
      </c>
      <c r="U16" s="13">
        <f>'TUSD BE'!$U$16*'TUSD BF'!$U$58</f>
        <v>0</v>
      </c>
      <c r="V16" s="13">
        <f>'TUSD BE'!$V$16*'TUSD BF'!$V$58</f>
        <v>0</v>
      </c>
      <c r="W16" s="13">
        <f>'TUSD BE'!$W$16*'TUSD BF'!$W$58</f>
        <v>0</v>
      </c>
      <c r="X16" s="13">
        <f>'TUSD BE'!$X$16*'TUSD BF'!$X$58</f>
        <v>0</v>
      </c>
      <c r="Y16" s="13">
        <f>'TUSD BE'!$Y$16*'TUSD BF'!$Y$58</f>
        <v>0</v>
      </c>
      <c r="Z16" s="13">
        <f>'TUSD BE'!$Z$16*'TUSD BF'!$Z$58</f>
        <v>0</v>
      </c>
      <c r="AA16" s="13">
        <f>'TUSD BE'!$AA$16*'TUSD BF'!$AA$58</f>
        <v>0</v>
      </c>
      <c r="AB16" s="13">
        <f>SUM($U$16:$AA$16)</f>
        <v>0</v>
      </c>
      <c r="AC16" s="13">
        <f>'TUSD BE'!$AC$16*'TUSD BF'!$AC$58</f>
        <v>0</v>
      </c>
      <c r="AD16" s="13">
        <f>SUM($AC$16:$AC$16)</f>
        <v>0</v>
      </c>
      <c r="AE16" s="13">
        <f ca="1">$AO$16*$AO$55</f>
        <v>0</v>
      </c>
      <c r="AF16" s="13">
        <f ca="1">$AP$16*$AP$55</f>
        <v>0</v>
      </c>
      <c r="AG16" s="13">
        <f ca="1">SUM($AE$16:$AF$16)</f>
        <v>0</v>
      </c>
      <c r="AH16" s="13">
        <f>'TUSD BE'!$AH$16*'TUSD BF'!$AH$58</f>
        <v>0</v>
      </c>
      <c r="AI16" s="13">
        <f>'TUSD BE'!$AI$16*'TUSD BF'!$AI$58</f>
        <v>0</v>
      </c>
      <c r="AJ16" s="13">
        <f ca="1">'TUSD BE'!$AJ$16*'TUSD BF'!$AJ$58</f>
        <v>0</v>
      </c>
      <c r="AK16" s="13">
        <f ca="1">'TUSD BE'!$AK$16*'TUSD BF'!$AK$58</f>
        <v>0</v>
      </c>
      <c r="AL16" s="13">
        <f ca="1">SUM($AH$16:$AK$16)</f>
        <v>0</v>
      </c>
      <c r="AM16" s="13">
        <f ca="1">SUMIF($L$4:$AL$4,"SUBTOTAL",$L$16:$AL$16)</f>
        <v>0</v>
      </c>
      <c r="AO16" s="20">
        <f ca="1">+'TUSD BE'!$T$16+'TUSD BE'!$AB$16+'TUSD BE'!$AD$16+'TUSD BE'!$AL$16</f>
        <v>12.391275735325156</v>
      </c>
      <c r="AP16" s="20">
        <f ca="1">+'TUSD BE'!$T$16+'TUSD BE'!$AB$16+'TUSD BE'!$AD$16+'TUSD BE'!$AL$16</f>
        <v>12.391275735325156</v>
      </c>
    </row>
    <row r="17" spans="1:42" ht="11.25" customHeight="1" x14ac:dyDescent="0.3">
      <c r="A17" s="91" t="s">
        <v>22</v>
      </c>
      <c r="B17" s="91" t="s">
        <v>82</v>
      </c>
      <c r="C17" s="91" t="s">
        <v>24</v>
      </c>
      <c r="D17" s="91" t="s">
        <v>24</v>
      </c>
      <c r="E17" s="91" t="s">
        <v>25</v>
      </c>
      <c r="F17" s="91" t="s">
        <v>25</v>
      </c>
      <c r="G17" s="18" t="s">
        <v>69</v>
      </c>
      <c r="H17" s="18" t="s">
        <v>68</v>
      </c>
      <c r="I17" s="18">
        <f>'MERCADO TUSD'!$U$14</f>
        <v>0</v>
      </c>
      <c r="J17" s="15"/>
      <c r="L17" s="13">
        <f>'TUSD BE'!$L$17*'TUSD BF'!$L$58</f>
        <v>0</v>
      </c>
      <c r="M17" s="13">
        <f>'TUSD BE'!$M$17*'TUSD BF'!$M$58</f>
        <v>0</v>
      </c>
      <c r="N17" s="13">
        <f ca="1">'TUSD BE'!$N$17*'TUSD BF'!$N$58</f>
        <v>0</v>
      </c>
      <c r="O17" s="13">
        <f>'TUSD BE'!$O$17*'TUSD BF'!$O$58</f>
        <v>0</v>
      </c>
      <c r="P17" s="13">
        <f>'TUSD BE'!$P$17*'TUSD BF'!$P$58</f>
        <v>0</v>
      </c>
      <c r="Q17" s="13">
        <f>'TUSD BE'!$Q$17*'TUSD BF'!$Q$58</f>
        <v>0</v>
      </c>
      <c r="R17" s="13">
        <f>'TUSD BE'!$R$17*'TUSD BF'!$R$58</f>
        <v>0</v>
      </c>
      <c r="S17" s="13">
        <f>'TUSD BE'!$R$17*'TUSD BF'!$S$58</f>
        <v>0</v>
      </c>
      <c r="T17" s="13">
        <f ca="1">SUM($L$17:$S$17)</f>
        <v>0</v>
      </c>
      <c r="U17" s="13">
        <f>'TUSD BE'!$U$17*'TUSD BF'!$U$58</f>
        <v>0</v>
      </c>
      <c r="V17" s="13">
        <f>'TUSD BE'!$V$17*'TUSD BF'!$V$58</f>
        <v>0</v>
      </c>
      <c r="W17" s="13">
        <f>'TUSD BE'!$W$17*'TUSD BF'!$W$58</f>
        <v>0</v>
      </c>
      <c r="X17" s="13">
        <f>'TUSD BE'!$X$17*'TUSD BF'!$X$58</f>
        <v>0</v>
      </c>
      <c r="Y17" s="13">
        <f>'TUSD BE'!$Y$17*'TUSD BF'!$Y$58</f>
        <v>0</v>
      </c>
      <c r="Z17" s="13">
        <f>'TUSD BE'!$Z$17*'TUSD BF'!$Z$58</f>
        <v>0</v>
      </c>
      <c r="AA17" s="13">
        <f>'TUSD BE'!$AA$17*'TUSD BF'!$AA$58</f>
        <v>0</v>
      </c>
      <c r="AB17" s="13">
        <f>SUM($U$17:$AA$17)</f>
        <v>0</v>
      </c>
      <c r="AC17" s="13">
        <f>'TUSD BE'!$AC$17*'TUSD BF'!$AC$58</f>
        <v>0</v>
      </c>
      <c r="AD17" s="13">
        <f>SUM($AC$17:$AC$17)</f>
        <v>0</v>
      </c>
      <c r="AE17" s="13">
        <f ca="1">$AO$17*$AO$55</f>
        <v>0</v>
      </c>
      <c r="AF17" s="13">
        <f ca="1">$AP$17*$AP$55</f>
        <v>0</v>
      </c>
      <c r="AG17" s="13">
        <f ca="1">SUM($AE$17:$AF$17)</f>
        <v>0</v>
      </c>
      <c r="AH17" s="13">
        <f>'TUSD BE'!$AH$17*'TUSD BF'!$AH$58</f>
        <v>0</v>
      </c>
      <c r="AI17" s="13">
        <f>'TUSD BE'!$AI$17*'TUSD BF'!$AI$58</f>
        <v>0</v>
      </c>
      <c r="AJ17" s="13">
        <f ca="1">'TUSD BE'!$AJ$17*'TUSD BF'!$AJ$58</f>
        <v>0</v>
      </c>
      <c r="AK17" s="13">
        <f ca="1">'TUSD BE'!$AK$17*'TUSD BF'!$AK$58</f>
        <v>0</v>
      </c>
      <c r="AL17" s="13">
        <f ca="1">SUM($AH$17:$AK$17)</f>
        <v>0</v>
      </c>
      <c r="AM17" s="13">
        <f ca="1">SUMIF($L$4:$AL$4,"SUBTOTAL",$L$17:$AL$17)</f>
        <v>0</v>
      </c>
      <c r="AO17" s="20">
        <f ca="1">+'TUSD BE'!$T$17+'TUSD BE'!$AB$17+'TUSD BE'!$AD$17+'TUSD BE'!$AL$17</f>
        <v>915.65346007989854</v>
      </c>
      <c r="AP17" s="20">
        <f ca="1">+'TUSD BE'!$T$17+'TUSD BE'!$AB$17+'TUSD BE'!$AD$17+'TUSD BE'!$AL$17</f>
        <v>915.65346007989854</v>
      </c>
    </row>
    <row r="18" spans="1:42" ht="11.25" customHeight="1" x14ac:dyDescent="0.3">
      <c r="A18" s="91"/>
      <c r="B18" s="91"/>
      <c r="C18" s="91"/>
      <c r="D18" s="91"/>
      <c r="E18" s="91"/>
      <c r="F18" s="91"/>
      <c r="G18" s="18" t="s">
        <v>80</v>
      </c>
      <c r="H18" s="18" t="s">
        <v>68</v>
      </c>
      <c r="I18" s="18">
        <f>'MERCADO TUSD'!$U$15</f>
        <v>0</v>
      </c>
      <c r="J18" s="15"/>
      <c r="L18" s="13">
        <f>'TUSD BE'!$L$18*'TUSD BF'!$L$58</f>
        <v>0</v>
      </c>
      <c r="M18" s="13">
        <f>'TUSD BE'!$M$18*'TUSD BF'!$M$58</f>
        <v>0</v>
      </c>
      <c r="N18" s="13">
        <f ca="1">'TUSD BE'!$N$18*'TUSD BF'!$N$58</f>
        <v>0</v>
      </c>
      <c r="O18" s="13">
        <f>'TUSD BE'!$O$18*'TUSD BF'!$O$58</f>
        <v>0</v>
      </c>
      <c r="P18" s="13">
        <f>'TUSD BE'!$P$18*'TUSD BF'!$P$58</f>
        <v>0</v>
      </c>
      <c r="Q18" s="13">
        <f>'TUSD BE'!$Q$18*'TUSD BF'!$Q$58</f>
        <v>0</v>
      </c>
      <c r="R18" s="13">
        <f>'TUSD BE'!$R$18*'TUSD BF'!$R$58</f>
        <v>0</v>
      </c>
      <c r="S18" s="13">
        <f>'TUSD BE'!$R$18*'TUSD BF'!$S$58</f>
        <v>0</v>
      </c>
      <c r="T18" s="13">
        <f ca="1">SUM($L$18:$S$18)</f>
        <v>0</v>
      </c>
      <c r="U18" s="13">
        <f>'TUSD BE'!$U$18*'TUSD BF'!$U$58</f>
        <v>0</v>
      </c>
      <c r="V18" s="13">
        <f>'TUSD BE'!$V$18*'TUSD BF'!$V$58</f>
        <v>0</v>
      </c>
      <c r="W18" s="13">
        <f>'TUSD BE'!$W$18*'TUSD BF'!$W$58</f>
        <v>0</v>
      </c>
      <c r="X18" s="13">
        <f>'TUSD BE'!$X$18*'TUSD BF'!$X$58</f>
        <v>0</v>
      </c>
      <c r="Y18" s="13">
        <f>'TUSD BE'!$Y$18*'TUSD BF'!$Y$58</f>
        <v>0</v>
      </c>
      <c r="Z18" s="13">
        <f>'TUSD BE'!$Z$18*'TUSD BF'!$Z$58</f>
        <v>0</v>
      </c>
      <c r="AA18" s="13">
        <f>'TUSD BE'!$AA$18*'TUSD BF'!$AA$58</f>
        <v>0</v>
      </c>
      <c r="AB18" s="13">
        <f>SUM($U$18:$AA$18)</f>
        <v>0</v>
      </c>
      <c r="AC18" s="13">
        <f>'TUSD BE'!$AC$18*'TUSD BF'!$AC$58</f>
        <v>0</v>
      </c>
      <c r="AD18" s="13">
        <f>SUM($AC$18:$AC$18)</f>
        <v>0</v>
      </c>
      <c r="AE18" s="13">
        <f ca="1">$AO$18*$AO$55</f>
        <v>0</v>
      </c>
      <c r="AF18" s="13">
        <f ca="1">$AP$18*$AP$55</f>
        <v>0</v>
      </c>
      <c r="AG18" s="13">
        <f ca="1">SUM($AE$18:$AF$18)</f>
        <v>0</v>
      </c>
      <c r="AH18" s="13">
        <f>'TUSD BE'!$AH$18*'TUSD BF'!$AH$58</f>
        <v>0</v>
      </c>
      <c r="AI18" s="13">
        <f>'TUSD BE'!$AI$18*'TUSD BF'!$AI$58</f>
        <v>0</v>
      </c>
      <c r="AJ18" s="13">
        <f ca="1">'TUSD BE'!$AJ$18*'TUSD BF'!$AJ$58</f>
        <v>0</v>
      </c>
      <c r="AK18" s="13">
        <f ca="1">'TUSD BE'!$AK$18*'TUSD BF'!$AK$58</f>
        <v>0</v>
      </c>
      <c r="AL18" s="13">
        <f ca="1">SUM($AH$18:$AK$18)</f>
        <v>0</v>
      </c>
      <c r="AM18" s="13">
        <f ca="1">SUMIF($L$4:$AL$4,"SUBTOTAL",$L$18:$AL$18)</f>
        <v>0</v>
      </c>
      <c r="AO18" s="20">
        <f ca="1">+'TUSD BE'!$T$18+'TUSD BE'!$AB$18+'TUSD BE'!$AD$18+'TUSD BE'!$AL$18</f>
        <v>598.18413645019598</v>
      </c>
      <c r="AP18" s="20">
        <f ca="1">+'TUSD BE'!$T$18+'TUSD BE'!$AB$18+'TUSD BE'!$AD$18+'TUSD BE'!$AL$18</f>
        <v>598.18413645019598</v>
      </c>
    </row>
    <row r="19" spans="1:42" ht="11.25" customHeight="1" x14ac:dyDescent="0.3">
      <c r="A19" s="91"/>
      <c r="B19" s="91"/>
      <c r="C19" s="91"/>
      <c r="D19" s="91"/>
      <c r="E19" s="91"/>
      <c r="F19" s="91"/>
      <c r="G19" s="18" t="s">
        <v>70</v>
      </c>
      <c r="H19" s="18" t="s">
        <v>68</v>
      </c>
      <c r="I19" s="18">
        <f>'MERCADO TUSD'!$U$16</f>
        <v>0</v>
      </c>
      <c r="J19" s="15"/>
      <c r="L19" s="13">
        <f>'TUSD BE'!$L$19*'TUSD BF'!$L$58</f>
        <v>0</v>
      </c>
      <c r="M19" s="13">
        <f>'TUSD BE'!$M$19*'TUSD BF'!$M$58</f>
        <v>0</v>
      </c>
      <c r="N19" s="13">
        <f ca="1">'TUSD BE'!$N$19*'TUSD BF'!$N$58</f>
        <v>0</v>
      </c>
      <c r="O19" s="13">
        <f>'TUSD BE'!$O$19*'TUSD BF'!$O$58</f>
        <v>0</v>
      </c>
      <c r="P19" s="13">
        <f>'TUSD BE'!$P$19*'TUSD BF'!$P$58</f>
        <v>0</v>
      </c>
      <c r="Q19" s="13">
        <f>'TUSD BE'!$Q$19*'TUSD BF'!$Q$58</f>
        <v>0</v>
      </c>
      <c r="R19" s="13">
        <f>'TUSD BE'!$R$19*'TUSD BF'!$R$58</f>
        <v>0</v>
      </c>
      <c r="S19" s="13">
        <f>'TUSD BE'!$R$19*'TUSD BF'!$S$58</f>
        <v>0</v>
      </c>
      <c r="T19" s="13">
        <f ca="1">SUM($L$19:$S$19)</f>
        <v>0</v>
      </c>
      <c r="U19" s="13">
        <f>'TUSD BE'!$U$19*'TUSD BF'!$U$58</f>
        <v>0</v>
      </c>
      <c r="V19" s="13">
        <f>'TUSD BE'!$V$19*'TUSD BF'!$V$58</f>
        <v>0</v>
      </c>
      <c r="W19" s="13">
        <f>'TUSD BE'!$W$19*'TUSD BF'!$W$58</f>
        <v>0</v>
      </c>
      <c r="X19" s="13">
        <f>'TUSD BE'!$X$19*'TUSD BF'!$X$58</f>
        <v>0</v>
      </c>
      <c r="Y19" s="13">
        <f>'TUSD BE'!$Y$19*'TUSD BF'!$Y$58</f>
        <v>0</v>
      </c>
      <c r="Z19" s="13">
        <f>'TUSD BE'!$Z$19*'TUSD BF'!$Z$58</f>
        <v>0</v>
      </c>
      <c r="AA19" s="13">
        <f>'TUSD BE'!$AA$19*'TUSD BF'!$AA$58</f>
        <v>0</v>
      </c>
      <c r="AB19" s="13">
        <f>SUM($U$19:$AA$19)</f>
        <v>0</v>
      </c>
      <c r="AC19" s="13">
        <f>'TUSD BE'!$AC$19*'TUSD BF'!$AC$58</f>
        <v>0</v>
      </c>
      <c r="AD19" s="13">
        <f>SUM($AC$19:$AC$19)</f>
        <v>0</v>
      </c>
      <c r="AE19" s="13">
        <f ca="1">$AO$19*$AO$55</f>
        <v>0</v>
      </c>
      <c r="AF19" s="13">
        <f ca="1">$AP$19*$AP$55</f>
        <v>0</v>
      </c>
      <c r="AG19" s="13">
        <f ca="1">SUM($AE$19:$AF$19)</f>
        <v>0</v>
      </c>
      <c r="AH19" s="13">
        <f>'TUSD BE'!$AH$19*'TUSD BF'!$AH$58</f>
        <v>0</v>
      </c>
      <c r="AI19" s="13">
        <f>'TUSD BE'!$AI$19*'TUSD BF'!$AI$58</f>
        <v>0</v>
      </c>
      <c r="AJ19" s="13">
        <f ca="1">'TUSD BE'!$AJ$19*'TUSD BF'!$AJ$58</f>
        <v>0</v>
      </c>
      <c r="AK19" s="13">
        <f ca="1">'TUSD BE'!$AK$19*'TUSD BF'!$AK$58</f>
        <v>0</v>
      </c>
      <c r="AL19" s="13">
        <f ca="1">SUM($AH$19:$AK$19)</f>
        <v>0</v>
      </c>
      <c r="AM19" s="13">
        <f ca="1">SUMIF($L$4:$AL$4,"SUBTOTAL",$L$19:$AL$19)</f>
        <v>0</v>
      </c>
      <c r="AO19" s="20">
        <f ca="1">+'TUSD BE'!$T$19+'TUSD BE'!$AB$19+'TUSD BE'!$AD$19+'TUSD BE'!$AL$19</f>
        <v>280.76356791296848</v>
      </c>
      <c r="AP19" s="20">
        <f ca="1">+'TUSD BE'!$T$19+'TUSD BE'!$AB$19+'TUSD BE'!$AD$19+'TUSD BE'!$AL$19</f>
        <v>280.76356791296848</v>
      </c>
    </row>
    <row r="20" spans="1:42" ht="11.25" customHeight="1" x14ac:dyDescent="0.3">
      <c r="A20" s="91"/>
      <c r="B20" s="91" t="s">
        <v>23</v>
      </c>
      <c r="C20" s="91" t="s">
        <v>24</v>
      </c>
      <c r="D20" s="17" t="s">
        <v>24</v>
      </c>
      <c r="E20" s="17" t="s">
        <v>25</v>
      </c>
      <c r="F20" s="17" t="s">
        <v>25</v>
      </c>
      <c r="G20" s="18" t="s">
        <v>74</v>
      </c>
      <c r="H20" s="18" t="s">
        <v>68</v>
      </c>
      <c r="I20" s="18">
        <f>'MERCADO TUSD'!$U$17</f>
        <v>434.28799999999995</v>
      </c>
      <c r="J20" s="15"/>
      <c r="L20" s="13">
        <f>'TUSD BE'!$L$20*'TUSD BF'!$L$58</f>
        <v>0</v>
      </c>
      <c r="M20" s="13">
        <f>'TUSD BE'!$M$20*'TUSD BF'!$M$58</f>
        <v>0</v>
      </c>
      <c r="N20" s="13">
        <f ca="1">'TUSD BE'!$N$20*'TUSD BF'!$N$58</f>
        <v>0</v>
      </c>
      <c r="O20" s="13">
        <f>'TUSD BE'!$O$20*'TUSD BF'!$O$58</f>
        <v>0</v>
      </c>
      <c r="P20" s="13">
        <f>'TUSD BE'!$P$20*'TUSD BF'!$P$58</f>
        <v>0</v>
      </c>
      <c r="Q20" s="13">
        <f>'TUSD BE'!$Q$20*'TUSD BF'!$Q$58</f>
        <v>0</v>
      </c>
      <c r="R20" s="13">
        <f>'TUSD BE'!$R$20*'TUSD BF'!$R$58</f>
        <v>0</v>
      </c>
      <c r="S20" s="13">
        <f>'TUSD BE'!$R$20*'TUSD BF'!$S$58</f>
        <v>0</v>
      </c>
      <c r="T20" s="13">
        <f ca="1">SUM($L$20:$S$20)</f>
        <v>0</v>
      </c>
      <c r="U20" s="13">
        <f>'TUSD BE'!$U$20*'TUSD BF'!$U$58</f>
        <v>0</v>
      </c>
      <c r="V20" s="13">
        <f>'TUSD BE'!$V$20*'TUSD BF'!$V$58</f>
        <v>0</v>
      </c>
      <c r="W20" s="13">
        <f>'TUSD BE'!$W$20*'TUSD BF'!$W$58</f>
        <v>0</v>
      </c>
      <c r="X20" s="13">
        <f>'TUSD BE'!$X$20*'TUSD BF'!$X$58</f>
        <v>0</v>
      </c>
      <c r="Y20" s="13">
        <f>'TUSD BE'!$Y$20*'TUSD BF'!$Y$58</f>
        <v>0</v>
      </c>
      <c r="Z20" s="13">
        <f>'TUSD BE'!$Z$20*'TUSD BF'!$Z$58</f>
        <v>0</v>
      </c>
      <c r="AA20" s="13">
        <f>'TUSD BE'!$AA$20*'TUSD BF'!$AA$58</f>
        <v>0</v>
      </c>
      <c r="AB20" s="13">
        <f>SUM($U$20:$AA$20)</f>
        <v>0</v>
      </c>
      <c r="AC20" s="13">
        <f>'TUSD BE'!$AC$20*'TUSD BF'!$AC$58</f>
        <v>0</v>
      </c>
      <c r="AD20" s="13">
        <f>SUM($AC$20:$AC$20)</f>
        <v>0</v>
      </c>
      <c r="AE20" s="13">
        <f ca="1">$AO$20*$AO$55</f>
        <v>0</v>
      </c>
      <c r="AF20" s="13">
        <f ca="1">$AP$20*$AP$55</f>
        <v>0</v>
      </c>
      <c r="AG20" s="13">
        <f ca="1">SUM($AE$20:$AF$20)</f>
        <v>0</v>
      </c>
      <c r="AH20" s="13">
        <f>'TUSD BE'!$AH$20*'TUSD BF'!$AH$58</f>
        <v>0</v>
      </c>
      <c r="AI20" s="13">
        <f>'TUSD BE'!$AI$20*'TUSD BF'!$AI$58</f>
        <v>0</v>
      </c>
      <c r="AJ20" s="13">
        <f ca="1">'TUSD BE'!$AJ$20*'TUSD BF'!$AJ$58</f>
        <v>0</v>
      </c>
      <c r="AK20" s="13">
        <f ca="1">'TUSD BE'!$AK$20*'TUSD BF'!$AK$58</f>
        <v>0</v>
      </c>
      <c r="AL20" s="13">
        <f ca="1">SUM($AH$20:$AK$20)</f>
        <v>0</v>
      </c>
      <c r="AM20" s="13">
        <f ca="1">SUMIF($L$4:$AL$4,"SUBTOTAL",$L$20:$AL$20)</f>
        <v>0</v>
      </c>
      <c r="AO20" s="20">
        <f ca="1">+'TUSD BE'!$T$20+'TUSD BE'!$AB$20+'TUSD BE'!$AD$20+'TUSD BE'!$AL$20</f>
        <v>415.88745245281598</v>
      </c>
      <c r="AP20" s="20">
        <f ca="1">+'TUSD BE'!$T$20+'TUSD BE'!$AB$20+'TUSD BE'!$AD$20+'TUSD BE'!$AL$20</f>
        <v>415.88745245281598</v>
      </c>
    </row>
    <row r="21" spans="1:42" ht="11.25" customHeight="1" x14ac:dyDescent="0.3">
      <c r="A21" s="91"/>
      <c r="B21" s="91"/>
      <c r="C21" s="91"/>
      <c r="D21" s="17" t="s">
        <v>27</v>
      </c>
      <c r="E21" s="17" t="s">
        <v>25</v>
      </c>
      <c r="F21" s="17" t="s">
        <v>25</v>
      </c>
      <c r="G21" s="18" t="s">
        <v>74</v>
      </c>
      <c r="H21" s="18" t="s">
        <v>68</v>
      </c>
      <c r="I21" s="18">
        <f>'MERCADO TUSD'!$U$18</f>
        <v>2.37</v>
      </c>
      <c r="J21" s="15"/>
      <c r="L21" s="13">
        <f>'TUSD BE'!$L$21*'TUSD BF'!$L$58</f>
        <v>0</v>
      </c>
      <c r="M21" s="13">
        <f>'TUSD BE'!$M$21*'TUSD BF'!$M$58</f>
        <v>0</v>
      </c>
      <c r="N21" s="13">
        <f ca="1">'TUSD BE'!$N$21*'TUSD BF'!$N$58</f>
        <v>0</v>
      </c>
      <c r="O21" s="13">
        <f>'TUSD BE'!$O$21*'TUSD BF'!$O$58</f>
        <v>0</v>
      </c>
      <c r="P21" s="13">
        <f>'TUSD BE'!$P$21*'TUSD BF'!$P$58</f>
        <v>0</v>
      </c>
      <c r="Q21" s="13">
        <f>'TUSD BE'!$Q$21*'TUSD BF'!$Q$58</f>
        <v>0</v>
      </c>
      <c r="R21" s="13">
        <f>'TUSD BE'!$R$21*'TUSD BF'!$R$58</f>
        <v>0</v>
      </c>
      <c r="S21" s="13">
        <f>'TUSD BE'!$R$21*'TUSD BF'!$S$58</f>
        <v>0</v>
      </c>
      <c r="T21" s="13">
        <f ca="1">SUM($L$21:$S$21)</f>
        <v>0</v>
      </c>
      <c r="U21" s="13">
        <f>'TUSD BE'!$U$21*'TUSD BF'!$U$58</f>
        <v>0</v>
      </c>
      <c r="V21" s="13">
        <f>'TUSD BE'!$V$21*'TUSD BF'!$V$58</f>
        <v>0</v>
      </c>
      <c r="W21" s="13">
        <f>'TUSD BE'!$W$21*'TUSD BF'!$W$58</f>
        <v>0</v>
      </c>
      <c r="X21" s="13">
        <f>'TUSD BE'!$X$21*'TUSD BF'!$X$58</f>
        <v>0</v>
      </c>
      <c r="Y21" s="13">
        <f>'TUSD BE'!$Y$21*'TUSD BF'!$Y$58</f>
        <v>0</v>
      </c>
      <c r="Z21" s="13">
        <f>'TUSD BE'!$Z$21*'TUSD BF'!$Z$58</f>
        <v>0</v>
      </c>
      <c r="AA21" s="13">
        <f>'TUSD BE'!$AA$21*'TUSD BF'!$AA$58</f>
        <v>0</v>
      </c>
      <c r="AB21" s="13">
        <f>SUM($U$21:$AA$21)</f>
        <v>0</v>
      </c>
      <c r="AC21" s="13">
        <f>'TUSD BE'!$AC$21*'TUSD BF'!$AC$58</f>
        <v>0</v>
      </c>
      <c r="AD21" s="13">
        <f>SUM($AC$21:$AC$21)</f>
        <v>0</v>
      </c>
      <c r="AE21" s="13">
        <f ca="1">$AO$21*$AO$55</f>
        <v>0</v>
      </c>
      <c r="AF21" s="13">
        <f ca="1">$AP$21*$AP$55</f>
        <v>0</v>
      </c>
      <c r="AG21" s="13">
        <f ca="1">SUM($AE$21:$AF$21)</f>
        <v>0</v>
      </c>
      <c r="AH21" s="13">
        <f>'TUSD BE'!$AH$21*'TUSD BF'!$AH$58</f>
        <v>0</v>
      </c>
      <c r="AI21" s="13">
        <f>'TUSD BE'!$AI$21*'TUSD BF'!$AI$58</f>
        <v>0</v>
      </c>
      <c r="AJ21" s="13">
        <f ca="1">'TUSD BE'!$AJ$21*'TUSD BF'!$AJ$58</f>
        <v>0</v>
      </c>
      <c r="AK21" s="13">
        <f ca="1">'TUSD BE'!$AK$21*'TUSD BF'!$AK$58</f>
        <v>0</v>
      </c>
      <c r="AL21" s="13">
        <f ca="1">SUM($AH$21:$AK$21)</f>
        <v>0</v>
      </c>
      <c r="AM21" s="13">
        <f ca="1">SUMIF($L$4:$AL$4,"SUBTOTAL",$L$21:$AL$21)</f>
        <v>0</v>
      </c>
      <c r="AO21" s="20">
        <f ca="1">+'TUSD BE'!$T$21+'TUSD BE'!$AB$21+'TUSD BE'!$AD$21+'TUSD BE'!$AL$21</f>
        <v>311.6903180613034</v>
      </c>
      <c r="AP21" s="20">
        <f ca="1">+'TUSD BE'!$T$21+'TUSD BE'!$AB$21+'TUSD BE'!$AD$21+'TUSD BE'!$AL$21</f>
        <v>311.6903180613034</v>
      </c>
    </row>
    <row r="22" spans="1:42" ht="11.25" customHeight="1" x14ac:dyDescent="0.3">
      <c r="A22" s="91"/>
      <c r="B22" s="91"/>
      <c r="C22" s="91"/>
      <c r="D22" s="17" t="s">
        <v>28</v>
      </c>
      <c r="E22" s="17" t="s">
        <v>25</v>
      </c>
      <c r="F22" s="17" t="s">
        <v>25</v>
      </c>
      <c r="G22" s="18" t="s">
        <v>74</v>
      </c>
      <c r="H22" s="18" t="s">
        <v>68</v>
      </c>
      <c r="I22" s="18">
        <f>'MERCADO TUSD'!$U$19</f>
        <v>4.327</v>
      </c>
      <c r="J22" s="15"/>
      <c r="L22" s="13">
        <f>'TUSD BE'!$L$22*'TUSD BF'!$L$58</f>
        <v>0</v>
      </c>
      <c r="M22" s="13">
        <f>'TUSD BE'!$M$22*'TUSD BF'!$M$58</f>
        <v>0</v>
      </c>
      <c r="N22" s="13">
        <f ca="1">'TUSD BE'!$N$22*'TUSD BF'!$N$58</f>
        <v>0</v>
      </c>
      <c r="O22" s="13">
        <f>'TUSD BE'!$O$22*'TUSD BF'!$O$58</f>
        <v>0</v>
      </c>
      <c r="P22" s="13">
        <f>'TUSD BE'!$P$22*'TUSD BF'!$P$58</f>
        <v>0</v>
      </c>
      <c r="Q22" s="13">
        <f>'TUSD BE'!$Q$22*'TUSD BF'!$Q$58</f>
        <v>0</v>
      </c>
      <c r="R22" s="13">
        <f>'TUSD BE'!$R$22*'TUSD BF'!$R$58</f>
        <v>0</v>
      </c>
      <c r="S22" s="13">
        <f>'TUSD BE'!$R$22*'TUSD BF'!$S$58</f>
        <v>0</v>
      </c>
      <c r="T22" s="13">
        <f ca="1">SUM($L$22:$S$22)</f>
        <v>0</v>
      </c>
      <c r="U22" s="13">
        <f>'TUSD BE'!$U$22*'TUSD BF'!$U$58</f>
        <v>0</v>
      </c>
      <c r="V22" s="13">
        <f>'TUSD BE'!$V$22*'TUSD BF'!$V$58</f>
        <v>0</v>
      </c>
      <c r="W22" s="13">
        <f>'TUSD BE'!$W$22*'TUSD BF'!$W$58</f>
        <v>0</v>
      </c>
      <c r="X22" s="13">
        <f>'TUSD BE'!$X$22*'TUSD BF'!$X$58</f>
        <v>0</v>
      </c>
      <c r="Y22" s="13">
        <f>'TUSD BE'!$Y$22*'TUSD BF'!$Y$58</f>
        <v>0</v>
      </c>
      <c r="Z22" s="13">
        <f>'TUSD BE'!$Z$22*'TUSD BF'!$Z$58</f>
        <v>0</v>
      </c>
      <c r="AA22" s="13">
        <f>'TUSD BE'!$AA$22*'TUSD BF'!$AA$58</f>
        <v>0</v>
      </c>
      <c r="AB22" s="13">
        <f>SUM($U$22:$AA$22)</f>
        <v>0</v>
      </c>
      <c r="AC22" s="13">
        <f>'TUSD BE'!$AC$22*'TUSD BF'!$AC$58</f>
        <v>0</v>
      </c>
      <c r="AD22" s="13">
        <f>SUM($AC$22:$AC$22)</f>
        <v>0</v>
      </c>
      <c r="AE22" s="13">
        <f ca="1">$AO$22*$AO$55</f>
        <v>0</v>
      </c>
      <c r="AF22" s="13">
        <f ca="1">$AP$22*$AP$55</f>
        <v>0</v>
      </c>
      <c r="AG22" s="13">
        <f ca="1">SUM($AE$22:$AF$22)</f>
        <v>0</v>
      </c>
      <c r="AH22" s="13">
        <f>'TUSD BE'!$AH$22*'TUSD BF'!$AH$58</f>
        <v>0</v>
      </c>
      <c r="AI22" s="13">
        <f>'TUSD BE'!$AI$22*'TUSD BF'!$AI$58</f>
        <v>0</v>
      </c>
      <c r="AJ22" s="13">
        <f ca="1">'TUSD BE'!$AJ$22*'TUSD BF'!$AJ$58</f>
        <v>0</v>
      </c>
      <c r="AK22" s="13">
        <f ca="1">'TUSD BE'!$AK$22*'TUSD BF'!$AK$58</f>
        <v>0</v>
      </c>
      <c r="AL22" s="13">
        <f ca="1">SUM($AH$22:$AK$22)</f>
        <v>0</v>
      </c>
      <c r="AM22" s="13">
        <f ca="1">SUMIF($L$4:$AL$4,"SUBTOTAL",$L$22:$AL$22)</f>
        <v>0</v>
      </c>
      <c r="AO22" s="20">
        <f ca="1">+'TUSD BE'!$T$22+'TUSD BE'!$AB$22+'TUSD BE'!$AD$22+'TUSD BE'!$AL$22</f>
        <v>311.6903180613034</v>
      </c>
      <c r="AP22" s="20">
        <f ca="1">+'TUSD BE'!$T$22+'TUSD BE'!$AB$22+'TUSD BE'!$AD$22+'TUSD BE'!$AL$22</f>
        <v>311.6903180613034</v>
      </c>
    </row>
    <row r="23" spans="1:42" ht="11.25" customHeight="1" x14ac:dyDescent="0.3">
      <c r="A23" s="91"/>
      <c r="B23" s="91"/>
      <c r="C23" s="91"/>
      <c r="D23" s="17" t="s">
        <v>29</v>
      </c>
      <c r="E23" s="17" t="s">
        <v>25</v>
      </c>
      <c r="F23" s="17" t="s">
        <v>25</v>
      </c>
      <c r="G23" s="18" t="s">
        <v>74</v>
      </c>
      <c r="H23" s="18" t="s">
        <v>68</v>
      </c>
      <c r="I23" s="18">
        <f>'MERCADO TUSD'!$U$20</f>
        <v>5.7929999999999993</v>
      </c>
      <c r="J23" s="15"/>
      <c r="L23" s="13">
        <f>'TUSD BE'!$L$23*'TUSD BF'!$L$58</f>
        <v>0</v>
      </c>
      <c r="M23" s="13">
        <f>'TUSD BE'!$M$23*'TUSD BF'!$M$58</f>
        <v>0</v>
      </c>
      <c r="N23" s="13">
        <f ca="1">'TUSD BE'!$N$23*'TUSD BF'!$N$58</f>
        <v>0</v>
      </c>
      <c r="O23" s="13">
        <f>'TUSD BE'!$O$23*'TUSD BF'!$O$58</f>
        <v>0</v>
      </c>
      <c r="P23" s="13">
        <f>'TUSD BE'!$P$23*'TUSD BF'!$P$58</f>
        <v>0</v>
      </c>
      <c r="Q23" s="13">
        <f>'TUSD BE'!$Q$23*'TUSD BF'!$Q$58</f>
        <v>0</v>
      </c>
      <c r="R23" s="13">
        <f>'TUSD BE'!$R$23*'TUSD BF'!$R$58</f>
        <v>0</v>
      </c>
      <c r="S23" s="13">
        <f>'TUSD BE'!$R$23*'TUSD BF'!$S$58</f>
        <v>0</v>
      </c>
      <c r="T23" s="13">
        <f ca="1">SUM($L$23:$S$23)</f>
        <v>0</v>
      </c>
      <c r="U23" s="13">
        <f>'TUSD BE'!$U$23*'TUSD BF'!$U$58</f>
        <v>0</v>
      </c>
      <c r="V23" s="13">
        <f>'TUSD BE'!$V$23*'TUSD BF'!$V$58</f>
        <v>0</v>
      </c>
      <c r="W23" s="13">
        <f>'TUSD BE'!$W$23*'TUSD BF'!$W$58</f>
        <v>0</v>
      </c>
      <c r="X23" s="13">
        <f>'TUSD BE'!$X$23*'TUSD BF'!$X$58</f>
        <v>0</v>
      </c>
      <c r="Y23" s="13">
        <f>'TUSD BE'!$Y$23*'TUSD BF'!$Y$58</f>
        <v>0</v>
      </c>
      <c r="Z23" s="13">
        <f>'TUSD BE'!$Z$23*'TUSD BF'!$Z$58</f>
        <v>0</v>
      </c>
      <c r="AA23" s="13">
        <f>'TUSD BE'!$AA$23*'TUSD BF'!$AA$58</f>
        <v>0</v>
      </c>
      <c r="AB23" s="13">
        <f>SUM($U$23:$AA$23)</f>
        <v>0</v>
      </c>
      <c r="AC23" s="13">
        <f>'TUSD BE'!$AC$23*'TUSD BF'!$AC$58</f>
        <v>0</v>
      </c>
      <c r="AD23" s="13">
        <f>SUM($AC$23:$AC$23)</f>
        <v>0</v>
      </c>
      <c r="AE23" s="13">
        <f ca="1">$AO$23*$AO$55</f>
        <v>0</v>
      </c>
      <c r="AF23" s="13">
        <f ca="1">$AP$23*$AP$55</f>
        <v>0</v>
      </c>
      <c r="AG23" s="13">
        <f ca="1">SUM($AE$23:$AF$23)</f>
        <v>0</v>
      </c>
      <c r="AH23" s="13">
        <f>'TUSD BE'!$AH$23*'TUSD BF'!$AH$58</f>
        <v>0</v>
      </c>
      <c r="AI23" s="13">
        <f>'TUSD BE'!$AI$23*'TUSD BF'!$AI$58</f>
        <v>0</v>
      </c>
      <c r="AJ23" s="13">
        <f ca="1">'TUSD BE'!$AJ$23*'TUSD BF'!$AJ$58</f>
        <v>0</v>
      </c>
      <c r="AK23" s="13">
        <f ca="1">'TUSD BE'!$AK$23*'TUSD BF'!$AK$58</f>
        <v>0</v>
      </c>
      <c r="AL23" s="13">
        <f ca="1">SUM($AH$23:$AK$23)</f>
        <v>0</v>
      </c>
      <c r="AM23" s="13">
        <f ca="1">SUMIF($L$4:$AL$4,"SUBTOTAL",$L$23:$AL$23)</f>
        <v>0</v>
      </c>
      <c r="AO23" s="20">
        <f ca="1">+'TUSD BE'!$T$23+'TUSD BE'!$AB$23+'TUSD BE'!$AD$23+'TUSD BE'!$AL$23</f>
        <v>311.6903180613034</v>
      </c>
      <c r="AP23" s="20">
        <f ca="1">+'TUSD BE'!$T$23+'TUSD BE'!$AB$23+'TUSD BE'!$AD$23+'TUSD BE'!$AL$23</f>
        <v>311.6903180613034</v>
      </c>
    </row>
    <row r="24" spans="1:42" ht="11.25" customHeight="1" x14ac:dyDescent="0.3">
      <c r="A24" s="91"/>
      <c r="B24" s="91"/>
      <c r="C24" s="91"/>
      <c r="D24" s="17" t="s">
        <v>30</v>
      </c>
      <c r="E24" s="17" t="s">
        <v>25</v>
      </c>
      <c r="F24" s="17" t="s">
        <v>25</v>
      </c>
      <c r="G24" s="18" t="s">
        <v>74</v>
      </c>
      <c r="H24" s="18" t="s">
        <v>68</v>
      </c>
      <c r="I24" s="18">
        <f>'MERCADO TUSD'!$U$21</f>
        <v>2.0990000000000002</v>
      </c>
      <c r="J24" s="15"/>
      <c r="L24" s="13">
        <f>'TUSD BE'!$L$24*'TUSD BF'!$L$58</f>
        <v>0</v>
      </c>
      <c r="M24" s="13">
        <f>'TUSD BE'!$M$24*'TUSD BF'!$M$58</f>
        <v>0</v>
      </c>
      <c r="N24" s="13">
        <f ca="1">'TUSD BE'!$N$24*'TUSD BF'!$N$58</f>
        <v>0</v>
      </c>
      <c r="O24" s="13">
        <f>'TUSD BE'!$O$24*'TUSD BF'!$O$58</f>
        <v>0</v>
      </c>
      <c r="P24" s="13">
        <f>'TUSD BE'!$P$24*'TUSD BF'!$P$58</f>
        <v>0</v>
      </c>
      <c r="Q24" s="13">
        <f>'TUSD BE'!$Q$24*'TUSD BF'!$Q$58</f>
        <v>0</v>
      </c>
      <c r="R24" s="13">
        <f>'TUSD BE'!$R$24*'TUSD BF'!$R$58</f>
        <v>0</v>
      </c>
      <c r="S24" s="13">
        <f>'TUSD BE'!$R$24*'TUSD BF'!$S$58</f>
        <v>0</v>
      </c>
      <c r="T24" s="13">
        <f ca="1">SUM($L$24:$S$24)</f>
        <v>0</v>
      </c>
      <c r="U24" s="13">
        <f>'TUSD BE'!$U$24*'TUSD BF'!$U$58</f>
        <v>0</v>
      </c>
      <c r="V24" s="13">
        <f>'TUSD BE'!$V$24*'TUSD BF'!$V$58</f>
        <v>0</v>
      </c>
      <c r="W24" s="13">
        <f>'TUSD BE'!$W$24*'TUSD BF'!$W$58</f>
        <v>0</v>
      </c>
      <c r="X24" s="13">
        <f>'TUSD BE'!$X$24*'TUSD BF'!$X$58</f>
        <v>0</v>
      </c>
      <c r="Y24" s="13">
        <f>'TUSD BE'!$Y$24*'TUSD BF'!$Y$58</f>
        <v>0</v>
      </c>
      <c r="Z24" s="13">
        <f>'TUSD BE'!$Z$24*'TUSD BF'!$Z$58</f>
        <v>0</v>
      </c>
      <c r="AA24" s="13">
        <f>'TUSD BE'!$AA$24*'TUSD BF'!$AA$58</f>
        <v>0</v>
      </c>
      <c r="AB24" s="13">
        <f>SUM($U$24:$AA$24)</f>
        <v>0</v>
      </c>
      <c r="AC24" s="13">
        <f>'TUSD BE'!$AC$24*'TUSD BF'!$AC$58</f>
        <v>0</v>
      </c>
      <c r="AD24" s="13">
        <f>SUM($AC$24:$AC$24)</f>
        <v>0</v>
      </c>
      <c r="AE24" s="13">
        <f ca="1">$AO$24*$AO$55</f>
        <v>0</v>
      </c>
      <c r="AF24" s="13">
        <f ca="1">$AP$24*$AP$55</f>
        <v>0</v>
      </c>
      <c r="AG24" s="13">
        <f ca="1">SUM($AE$24:$AF$24)</f>
        <v>0</v>
      </c>
      <c r="AH24" s="13">
        <f>'TUSD BE'!$AH$24*'TUSD BF'!$AH$58</f>
        <v>0</v>
      </c>
      <c r="AI24" s="13">
        <f>'TUSD BE'!$AI$24*'TUSD BF'!$AI$58</f>
        <v>0</v>
      </c>
      <c r="AJ24" s="13">
        <f ca="1">'TUSD BE'!$AJ$24*'TUSD BF'!$AJ$58</f>
        <v>0</v>
      </c>
      <c r="AK24" s="13">
        <f ca="1">'TUSD BE'!$AK$24*'TUSD BF'!$AK$58</f>
        <v>0</v>
      </c>
      <c r="AL24" s="13">
        <f ca="1">SUM($AH$24:$AK$24)</f>
        <v>0</v>
      </c>
      <c r="AM24" s="13">
        <f ca="1">SUMIF($L$4:$AL$4,"SUBTOTAL",$L$24:$AL$24)</f>
        <v>0</v>
      </c>
      <c r="AO24" s="20">
        <f ca="1">+'TUSD BE'!$T$24+'TUSD BE'!$AB$24+'TUSD BE'!$AD$24+'TUSD BE'!$AL$24</f>
        <v>311.6903180613034</v>
      </c>
      <c r="AP24" s="20">
        <f ca="1">+'TUSD BE'!$T$24+'TUSD BE'!$AB$24+'TUSD BE'!$AD$24+'TUSD BE'!$AL$24</f>
        <v>311.6903180613034</v>
      </c>
    </row>
    <row r="25" spans="1:42" ht="11.25" customHeight="1" x14ac:dyDescent="0.3">
      <c r="A25" s="91"/>
      <c r="B25" s="91" t="s">
        <v>84</v>
      </c>
      <c r="C25" s="91" t="s">
        <v>24</v>
      </c>
      <c r="D25" s="17" t="s">
        <v>24</v>
      </c>
      <c r="E25" s="17" t="s">
        <v>25</v>
      </c>
      <c r="F25" s="17" t="s">
        <v>25</v>
      </c>
      <c r="G25" s="18" t="s">
        <v>74</v>
      </c>
      <c r="H25" s="18" t="s">
        <v>68</v>
      </c>
      <c r="I25" s="18">
        <f>'MERCADO TUSD'!$U$22</f>
        <v>0</v>
      </c>
      <c r="J25" s="15"/>
      <c r="L25" s="13">
        <f>'TUSD BE'!$L$25*'TUSD BF'!$L$58</f>
        <v>0</v>
      </c>
      <c r="M25" s="13">
        <f>'TUSD BE'!$M$25*'TUSD BF'!$M$58</f>
        <v>0</v>
      </c>
      <c r="N25" s="13">
        <f ca="1">'TUSD BE'!$N$25*'TUSD BF'!$N$58</f>
        <v>0</v>
      </c>
      <c r="O25" s="13">
        <f>'TUSD BE'!$O$25*'TUSD BF'!$O$58</f>
        <v>0</v>
      </c>
      <c r="P25" s="13">
        <f>'TUSD BE'!$P$25*'TUSD BF'!$P$58</f>
        <v>0</v>
      </c>
      <c r="Q25" s="13">
        <f>'TUSD BE'!$Q$25*'TUSD BF'!$Q$58</f>
        <v>0</v>
      </c>
      <c r="R25" s="13">
        <f>'TUSD BE'!$R$25*'TUSD BF'!$R$58</f>
        <v>0</v>
      </c>
      <c r="S25" s="13">
        <f>'TUSD BE'!$R$25*'TUSD BF'!$S$58</f>
        <v>0</v>
      </c>
      <c r="T25" s="13">
        <f ca="1">SUM($L$25:$S$25)</f>
        <v>0</v>
      </c>
      <c r="U25" s="13">
        <f>'TUSD BE'!$U$25*'TUSD BF'!$U$58</f>
        <v>0</v>
      </c>
      <c r="V25" s="13">
        <f>'TUSD BE'!$V$25*'TUSD BF'!$V$58</f>
        <v>0</v>
      </c>
      <c r="W25" s="13">
        <f>'TUSD BE'!$W$25*'TUSD BF'!$W$58</f>
        <v>0</v>
      </c>
      <c r="X25" s="13">
        <f>'TUSD BE'!$X$25*'TUSD BF'!$X$58</f>
        <v>0</v>
      </c>
      <c r="Y25" s="13">
        <f>'TUSD BE'!$Y$25*'TUSD BF'!$Y$58</f>
        <v>0</v>
      </c>
      <c r="Z25" s="13">
        <f>'TUSD BE'!$Z$25*'TUSD BF'!$Z$58</f>
        <v>0</v>
      </c>
      <c r="AA25" s="13">
        <f>'TUSD BE'!$AA$25*'TUSD BF'!$AA$58</f>
        <v>0</v>
      </c>
      <c r="AB25" s="13">
        <f>SUM($U$25:$AA$25)</f>
        <v>0</v>
      </c>
      <c r="AC25" s="13">
        <f>'TUSD BE'!$AC$25*'TUSD BF'!$AC$58</f>
        <v>0</v>
      </c>
      <c r="AD25" s="13">
        <f>SUM($AC$25:$AC$25)</f>
        <v>0</v>
      </c>
      <c r="AE25" s="13">
        <f ca="1">$AO$25*$AO$55</f>
        <v>0</v>
      </c>
      <c r="AF25" s="13">
        <f ca="1">$AP$25*$AP$55</f>
        <v>0</v>
      </c>
      <c r="AG25" s="13">
        <f ca="1">SUM($AE$25:$AF$25)</f>
        <v>0</v>
      </c>
      <c r="AH25" s="13">
        <f>'TUSD BE'!$AH$25*'TUSD BF'!$AH$58</f>
        <v>0</v>
      </c>
      <c r="AI25" s="13">
        <f>'TUSD BE'!$AI$25*'TUSD BF'!$AI$58</f>
        <v>0</v>
      </c>
      <c r="AJ25" s="13">
        <f ca="1">'TUSD BE'!$AJ$25*'TUSD BF'!$AJ$58</f>
        <v>0</v>
      </c>
      <c r="AK25" s="13">
        <f ca="1">'TUSD BE'!$AK$25*'TUSD BF'!$AK$58</f>
        <v>0</v>
      </c>
      <c r="AL25" s="13">
        <f ca="1">SUM($AH$25:$AK$25)</f>
        <v>0</v>
      </c>
      <c r="AM25" s="13">
        <f ca="1">SUMIF($L$4:$AL$4,"SUBTOTAL",$L$25:$AL$25)</f>
        <v>0</v>
      </c>
      <c r="AO25" s="20">
        <f ca="1">+'TUSD BE'!$T$25+'TUSD BE'!$AB$25+'TUSD BE'!$AD$25+'TUSD BE'!$AL$25</f>
        <v>105.06116201292515</v>
      </c>
      <c r="AP25" s="20">
        <f ca="1">+'TUSD BE'!$T$25+'TUSD BE'!$AB$25+'TUSD BE'!$AD$25+'TUSD BE'!$AL$25</f>
        <v>105.06116201292515</v>
      </c>
    </row>
    <row r="26" spans="1:42" ht="11.25" customHeight="1" x14ac:dyDescent="0.3">
      <c r="A26" s="91"/>
      <c r="B26" s="91"/>
      <c r="C26" s="91"/>
      <c r="D26" s="17" t="s">
        <v>27</v>
      </c>
      <c r="E26" s="17" t="s">
        <v>25</v>
      </c>
      <c r="F26" s="17" t="s">
        <v>25</v>
      </c>
      <c r="G26" s="18" t="s">
        <v>74</v>
      </c>
      <c r="H26" s="18" t="s">
        <v>68</v>
      </c>
      <c r="I26" s="18">
        <f>'MERCADO TUSD'!$U$23</f>
        <v>0</v>
      </c>
      <c r="J26" s="15"/>
      <c r="L26" s="13">
        <f>'TUSD BE'!$L$26*'TUSD BF'!$L$58</f>
        <v>0</v>
      </c>
      <c r="M26" s="13">
        <f>'TUSD BE'!$M$26*'TUSD BF'!$M$58</f>
        <v>0</v>
      </c>
      <c r="N26" s="13">
        <f ca="1">'TUSD BE'!$N$26*'TUSD BF'!$N$58</f>
        <v>0</v>
      </c>
      <c r="O26" s="13">
        <f>'TUSD BE'!$O$26*'TUSD BF'!$O$58</f>
        <v>0</v>
      </c>
      <c r="P26" s="13">
        <f>'TUSD BE'!$P$26*'TUSD BF'!$P$58</f>
        <v>0</v>
      </c>
      <c r="Q26" s="13">
        <f>'TUSD BE'!$Q$26*'TUSD BF'!$Q$58</f>
        <v>0</v>
      </c>
      <c r="R26" s="13">
        <f>'TUSD BE'!$R$26*'TUSD BF'!$R$58</f>
        <v>0</v>
      </c>
      <c r="S26" s="13">
        <f>'TUSD BE'!$R$26*'TUSD BF'!$S$58</f>
        <v>0</v>
      </c>
      <c r="T26" s="13">
        <f ca="1">SUM($L$26:$S$26)</f>
        <v>0</v>
      </c>
      <c r="U26" s="13">
        <f>'TUSD BE'!$U$26*'TUSD BF'!$U$58</f>
        <v>0</v>
      </c>
      <c r="V26" s="13">
        <f>'TUSD BE'!$V$26*'TUSD BF'!$V$58</f>
        <v>0</v>
      </c>
      <c r="W26" s="13">
        <f>'TUSD BE'!$W$26*'TUSD BF'!$W$58</f>
        <v>0</v>
      </c>
      <c r="X26" s="13">
        <f>'TUSD BE'!$X$26*'TUSD BF'!$X$58</f>
        <v>0</v>
      </c>
      <c r="Y26" s="13">
        <f>'TUSD BE'!$Y$26*'TUSD BF'!$Y$58</f>
        <v>0</v>
      </c>
      <c r="Z26" s="13">
        <f>'TUSD BE'!$Z$26*'TUSD BF'!$Z$58</f>
        <v>0</v>
      </c>
      <c r="AA26" s="13">
        <f>'TUSD BE'!$AA$26*'TUSD BF'!$AA$58</f>
        <v>0</v>
      </c>
      <c r="AB26" s="13">
        <f>SUM($U$26:$AA$26)</f>
        <v>0</v>
      </c>
      <c r="AC26" s="13">
        <f>'TUSD BE'!$AC$26*'TUSD BF'!$AC$58</f>
        <v>0</v>
      </c>
      <c r="AD26" s="13">
        <f>SUM($AC$26:$AC$26)</f>
        <v>0</v>
      </c>
      <c r="AE26" s="13">
        <f ca="1">$AO$26*$AO$55</f>
        <v>0</v>
      </c>
      <c r="AF26" s="13">
        <f ca="1">$AP$26*$AP$55</f>
        <v>0</v>
      </c>
      <c r="AG26" s="13">
        <f ca="1">SUM($AE$26:$AF$26)</f>
        <v>0</v>
      </c>
      <c r="AH26" s="13">
        <f>'TUSD BE'!$AH$26*'TUSD BF'!$AH$58</f>
        <v>0</v>
      </c>
      <c r="AI26" s="13">
        <f>'TUSD BE'!$AI$26*'TUSD BF'!$AI$58</f>
        <v>0</v>
      </c>
      <c r="AJ26" s="13">
        <f ca="1">'TUSD BE'!$AJ$26*'TUSD BF'!$AJ$58</f>
        <v>0</v>
      </c>
      <c r="AK26" s="13">
        <f ca="1">'TUSD BE'!$AK$26*'TUSD BF'!$AK$58</f>
        <v>0</v>
      </c>
      <c r="AL26" s="13">
        <f ca="1">SUM($AH$26:$AK$26)</f>
        <v>0</v>
      </c>
      <c r="AM26" s="13">
        <f ca="1">SUMIF($L$4:$AL$4,"SUBTOTAL",$L$26:$AL$26)</f>
        <v>0</v>
      </c>
      <c r="AO26" s="20">
        <f ca="1">+'TUSD BE'!$T$26+'TUSD BE'!$AB$26+'TUSD BE'!$AD$26+'TUSD BE'!$AL$26</f>
        <v>0.8640276214125725</v>
      </c>
      <c r="AP26" s="20">
        <f ca="1">+'TUSD BE'!$T$26+'TUSD BE'!$AB$26+'TUSD BE'!$AD$26+'TUSD BE'!$AL$26</f>
        <v>0.8640276214125725</v>
      </c>
    </row>
    <row r="27" spans="1:42" ht="11.25" customHeight="1" x14ac:dyDescent="0.3">
      <c r="A27" s="91"/>
      <c r="B27" s="91"/>
      <c r="C27" s="91"/>
      <c r="D27" s="17" t="s">
        <v>28</v>
      </c>
      <c r="E27" s="17" t="s">
        <v>25</v>
      </c>
      <c r="F27" s="17" t="s">
        <v>25</v>
      </c>
      <c r="G27" s="18" t="s">
        <v>74</v>
      </c>
      <c r="H27" s="18" t="s">
        <v>68</v>
      </c>
      <c r="I27" s="18">
        <f>'MERCADO TUSD'!$U$24</f>
        <v>0</v>
      </c>
      <c r="J27" s="15"/>
      <c r="L27" s="13">
        <f>'TUSD BE'!$L$27*'TUSD BF'!$L$58</f>
        <v>0</v>
      </c>
      <c r="M27" s="13">
        <f>'TUSD BE'!$M$27*'TUSD BF'!$M$58</f>
        <v>0</v>
      </c>
      <c r="N27" s="13">
        <f ca="1">'TUSD BE'!$N$27*'TUSD BF'!$N$58</f>
        <v>0</v>
      </c>
      <c r="O27" s="13">
        <f>'TUSD BE'!$O$27*'TUSD BF'!$O$58</f>
        <v>0</v>
      </c>
      <c r="P27" s="13">
        <f>'TUSD BE'!$P$27*'TUSD BF'!$P$58</f>
        <v>0</v>
      </c>
      <c r="Q27" s="13">
        <f>'TUSD BE'!$Q$27*'TUSD BF'!$Q$58</f>
        <v>0</v>
      </c>
      <c r="R27" s="13">
        <f>'TUSD BE'!$R$27*'TUSD BF'!$R$58</f>
        <v>0</v>
      </c>
      <c r="S27" s="13">
        <f>'TUSD BE'!$R$27*'TUSD BF'!$S$58</f>
        <v>0</v>
      </c>
      <c r="T27" s="13">
        <f ca="1">SUM($L$27:$S$27)</f>
        <v>0</v>
      </c>
      <c r="U27" s="13">
        <f>'TUSD BE'!$U$27*'TUSD BF'!$U$58</f>
        <v>0</v>
      </c>
      <c r="V27" s="13">
        <f>'TUSD BE'!$V$27*'TUSD BF'!$V$58</f>
        <v>0</v>
      </c>
      <c r="W27" s="13">
        <f>'TUSD BE'!$W$27*'TUSD BF'!$W$58</f>
        <v>0</v>
      </c>
      <c r="X27" s="13">
        <f>'TUSD BE'!$X$27*'TUSD BF'!$X$58</f>
        <v>0</v>
      </c>
      <c r="Y27" s="13">
        <f>'TUSD BE'!$Y$27*'TUSD BF'!$Y$58</f>
        <v>0</v>
      </c>
      <c r="Z27" s="13">
        <f>'TUSD BE'!$Z$27*'TUSD BF'!$Z$58</f>
        <v>0</v>
      </c>
      <c r="AA27" s="13">
        <f>'TUSD BE'!$AA$27*'TUSD BF'!$AA$58</f>
        <v>0</v>
      </c>
      <c r="AB27" s="13">
        <f>SUM($U$27:$AA$27)</f>
        <v>0</v>
      </c>
      <c r="AC27" s="13">
        <f>'TUSD BE'!$AC$27*'TUSD BF'!$AC$58</f>
        <v>0</v>
      </c>
      <c r="AD27" s="13">
        <f>SUM($AC$27:$AC$27)</f>
        <v>0</v>
      </c>
      <c r="AE27" s="13">
        <f ca="1">$AO$27*$AO$55</f>
        <v>0</v>
      </c>
      <c r="AF27" s="13">
        <f ca="1">$AP$27*$AP$55</f>
        <v>0</v>
      </c>
      <c r="AG27" s="13">
        <f ca="1">SUM($AE$27:$AF$27)</f>
        <v>0</v>
      </c>
      <c r="AH27" s="13">
        <f>'TUSD BE'!$AH$27*'TUSD BF'!$AH$58</f>
        <v>0</v>
      </c>
      <c r="AI27" s="13">
        <f>'TUSD BE'!$AI$27*'TUSD BF'!$AI$58</f>
        <v>0</v>
      </c>
      <c r="AJ27" s="13">
        <f ca="1">'TUSD BE'!$AJ$27*'TUSD BF'!$AJ$58</f>
        <v>0</v>
      </c>
      <c r="AK27" s="13">
        <f ca="1">'TUSD BE'!$AK$27*'TUSD BF'!$AK$58</f>
        <v>0</v>
      </c>
      <c r="AL27" s="13">
        <f ca="1">SUM($AH$27:$AK$27)</f>
        <v>0</v>
      </c>
      <c r="AM27" s="13">
        <f ca="1">SUMIF($L$4:$AL$4,"SUBTOTAL",$L$27:$AL$27)</f>
        <v>0</v>
      </c>
      <c r="AO27" s="20">
        <f ca="1">+'TUSD BE'!$T$27+'TUSD BE'!$AB$27+'TUSD BE'!$AD$27+'TUSD BE'!$AL$27</f>
        <v>0.8640276214125725</v>
      </c>
      <c r="AP27" s="20">
        <f ca="1">+'TUSD BE'!$T$27+'TUSD BE'!$AB$27+'TUSD BE'!$AD$27+'TUSD BE'!$AL$27</f>
        <v>0.8640276214125725</v>
      </c>
    </row>
    <row r="28" spans="1:42" ht="11.25" customHeight="1" x14ac:dyDescent="0.3">
      <c r="A28" s="91"/>
      <c r="B28" s="91"/>
      <c r="C28" s="91"/>
      <c r="D28" s="17" t="s">
        <v>29</v>
      </c>
      <c r="E28" s="17" t="s">
        <v>25</v>
      </c>
      <c r="F28" s="17" t="s">
        <v>25</v>
      </c>
      <c r="G28" s="18" t="s">
        <v>74</v>
      </c>
      <c r="H28" s="18" t="s">
        <v>68</v>
      </c>
      <c r="I28" s="18">
        <f>'MERCADO TUSD'!$U$25</f>
        <v>0</v>
      </c>
      <c r="J28" s="15"/>
      <c r="L28" s="13">
        <f>'TUSD BE'!$L$28*'TUSD BF'!$L$58</f>
        <v>0</v>
      </c>
      <c r="M28" s="13">
        <f>'TUSD BE'!$M$28*'TUSD BF'!$M$58</f>
        <v>0</v>
      </c>
      <c r="N28" s="13">
        <f ca="1">'TUSD BE'!$N$28*'TUSD BF'!$N$58</f>
        <v>0</v>
      </c>
      <c r="O28" s="13">
        <f>'TUSD BE'!$O$28*'TUSD BF'!$O$58</f>
        <v>0</v>
      </c>
      <c r="P28" s="13">
        <f>'TUSD BE'!$P$28*'TUSD BF'!$P$58</f>
        <v>0</v>
      </c>
      <c r="Q28" s="13">
        <f>'TUSD BE'!$Q$28*'TUSD BF'!$Q$58</f>
        <v>0</v>
      </c>
      <c r="R28" s="13">
        <f>'TUSD BE'!$R$28*'TUSD BF'!$R$58</f>
        <v>0</v>
      </c>
      <c r="S28" s="13">
        <f>'TUSD BE'!$R$28*'TUSD BF'!$S$58</f>
        <v>0</v>
      </c>
      <c r="T28" s="13">
        <f ca="1">SUM($L$28:$S$28)</f>
        <v>0</v>
      </c>
      <c r="U28" s="13">
        <f>'TUSD BE'!$U$28*'TUSD BF'!$U$58</f>
        <v>0</v>
      </c>
      <c r="V28" s="13">
        <f>'TUSD BE'!$V$28*'TUSD BF'!$V$58</f>
        <v>0</v>
      </c>
      <c r="W28" s="13">
        <f>'TUSD BE'!$W$28*'TUSD BF'!$W$58</f>
        <v>0</v>
      </c>
      <c r="X28" s="13">
        <f>'TUSD BE'!$X$28*'TUSD BF'!$X$58</f>
        <v>0</v>
      </c>
      <c r="Y28" s="13">
        <f>'TUSD BE'!$Y$28*'TUSD BF'!$Y$58</f>
        <v>0</v>
      </c>
      <c r="Z28" s="13">
        <f>'TUSD BE'!$Z$28*'TUSD BF'!$Z$58</f>
        <v>0</v>
      </c>
      <c r="AA28" s="13">
        <f>'TUSD BE'!$AA$28*'TUSD BF'!$AA$58</f>
        <v>0</v>
      </c>
      <c r="AB28" s="13">
        <f>SUM($U$28:$AA$28)</f>
        <v>0</v>
      </c>
      <c r="AC28" s="13">
        <f>'TUSD BE'!$AC$28*'TUSD BF'!$AC$58</f>
        <v>0</v>
      </c>
      <c r="AD28" s="13">
        <f>SUM($AC$28:$AC$28)</f>
        <v>0</v>
      </c>
      <c r="AE28" s="13">
        <f ca="1">$AO$28*$AO$55</f>
        <v>0</v>
      </c>
      <c r="AF28" s="13">
        <f ca="1">$AP$28*$AP$55</f>
        <v>0</v>
      </c>
      <c r="AG28" s="13">
        <f ca="1">SUM($AE$28:$AF$28)</f>
        <v>0</v>
      </c>
      <c r="AH28" s="13">
        <f>'TUSD BE'!$AH$28*'TUSD BF'!$AH$58</f>
        <v>0</v>
      </c>
      <c r="AI28" s="13">
        <f>'TUSD BE'!$AI$28*'TUSD BF'!$AI$58</f>
        <v>0</v>
      </c>
      <c r="AJ28" s="13">
        <f ca="1">'TUSD BE'!$AJ$28*'TUSD BF'!$AJ$58</f>
        <v>0</v>
      </c>
      <c r="AK28" s="13">
        <f ca="1">'TUSD BE'!$AK$28*'TUSD BF'!$AK$58</f>
        <v>0</v>
      </c>
      <c r="AL28" s="13">
        <f ca="1">SUM($AH$28:$AK$28)</f>
        <v>0</v>
      </c>
      <c r="AM28" s="13">
        <f ca="1">SUMIF($L$4:$AL$4,"SUBTOTAL",$L$28:$AL$28)</f>
        <v>0</v>
      </c>
      <c r="AO28" s="20">
        <f ca="1">+'TUSD BE'!$T$28+'TUSD BE'!$AB$28+'TUSD BE'!$AD$28+'TUSD BE'!$AL$28</f>
        <v>0.8640276214125725</v>
      </c>
      <c r="AP28" s="20">
        <f ca="1">+'TUSD BE'!$T$28+'TUSD BE'!$AB$28+'TUSD BE'!$AD$28+'TUSD BE'!$AL$28</f>
        <v>0.8640276214125725</v>
      </c>
    </row>
    <row r="29" spans="1:42" ht="11.25" customHeight="1" x14ac:dyDescent="0.3">
      <c r="A29" s="91"/>
      <c r="B29" s="91"/>
      <c r="C29" s="91"/>
      <c r="D29" s="17" t="s">
        <v>30</v>
      </c>
      <c r="E29" s="17" t="s">
        <v>25</v>
      </c>
      <c r="F29" s="17" t="s">
        <v>25</v>
      </c>
      <c r="G29" s="18" t="s">
        <v>74</v>
      </c>
      <c r="H29" s="18" t="s">
        <v>68</v>
      </c>
      <c r="I29" s="18">
        <f>'MERCADO TUSD'!$U$26</f>
        <v>0</v>
      </c>
      <c r="J29" s="15"/>
      <c r="L29" s="13">
        <f>'TUSD BE'!$L$29*'TUSD BF'!$L$58</f>
        <v>0</v>
      </c>
      <c r="M29" s="13">
        <f>'TUSD BE'!$M$29*'TUSD BF'!$M$58</f>
        <v>0</v>
      </c>
      <c r="N29" s="13">
        <f ca="1">'TUSD BE'!$N$29*'TUSD BF'!$N$58</f>
        <v>0</v>
      </c>
      <c r="O29" s="13">
        <f>'TUSD BE'!$O$29*'TUSD BF'!$O$58</f>
        <v>0</v>
      </c>
      <c r="P29" s="13">
        <f>'TUSD BE'!$P$29*'TUSD BF'!$P$58</f>
        <v>0</v>
      </c>
      <c r="Q29" s="13">
        <f>'TUSD BE'!$Q$29*'TUSD BF'!$Q$58</f>
        <v>0</v>
      </c>
      <c r="R29" s="13">
        <f>'TUSD BE'!$R$29*'TUSD BF'!$R$58</f>
        <v>0</v>
      </c>
      <c r="S29" s="13">
        <f>'TUSD BE'!$R$29*'TUSD BF'!$S$58</f>
        <v>0</v>
      </c>
      <c r="T29" s="13">
        <f ca="1">SUM($L$29:$S$29)</f>
        <v>0</v>
      </c>
      <c r="U29" s="13">
        <f>'TUSD BE'!$U$29*'TUSD BF'!$U$58</f>
        <v>0</v>
      </c>
      <c r="V29" s="13">
        <f>'TUSD BE'!$V$29*'TUSD BF'!$V$58</f>
        <v>0</v>
      </c>
      <c r="W29" s="13">
        <f>'TUSD BE'!$W$29*'TUSD BF'!$W$58</f>
        <v>0</v>
      </c>
      <c r="X29" s="13">
        <f>'TUSD BE'!$X$29*'TUSD BF'!$X$58</f>
        <v>0</v>
      </c>
      <c r="Y29" s="13">
        <f>'TUSD BE'!$Y$29*'TUSD BF'!$Y$58</f>
        <v>0</v>
      </c>
      <c r="Z29" s="13">
        <f>'TUSD BE'!$Z$29*'TUSD BF'!$Z$58</f>
        <v>0</v>
      </c>
      <c r="AA29" s="13">
        <f>'TUSD BE'!$AA$29*'TUSD BF'!$AA$58</f>
        <v>0</v>
      </c>
      <c r="AB29" s="13">
        <f>SUM($U$29:$AA$29)</f>
        <v>0</v>
      </c>
      <c r="AC29" s="13">
        <f>'TUSD BE'!$AC$29*'TUSD BF'!$AC$58</f>
        <v>0</v>
      </c>
      <c r="AD29" s="13">
        <f>SUM($AC$29:$AC$29)</f>
        <v>0</v>
      </c>
      <c r="AE29" s="13">
        <f ca="1">$AO$29*$AO$55</f>
        <v>0</v>
      </c>
      <c r="AF29" s="13">
        <f ca="1">$AP$29*$AP$55</f>
        <v>0</v>
      </c>
      <c r="AG29" s="13">
        <f ca="1">SUM($AE$29:$AF$29)</f>
        <v>0</v>
      </c>
      <c r="AH29" s="13">
        <f>'TUSD BE'!$AH$29*'TUSD BF'!$AH$58</f>
        <v>0</v>
      </c>
      <c r="AI29" s="13">
        <f>'TUSD BE'!$AI$29*'TUSD BF'!$AI$58</f>
        <v>0</v>
      </c>
      <c r="AJ29" s="13">
        <f ca="1">'TUSD BE'!$AJ$29*'TUSD BF'!$AJ$58</f>
        <v>0</v>
      </c>
      <c r="AK29" s="13">
        <f ca="1">'TUSD BE'!$AK$29*'TUSD BF'!$AK$58</f>
        <v>0</v>
      </c>
      <c r="AL29" s="13">
        <f ca="1">SUM($AH$29:$AK$29)</f>
        <v>0</v>
      </c>
      <c r="AM29" s="13">
        <f ca="1">SUMIF($L$4:$AL$4,"SUBTOTAL",$L$29:$AL$29)</f>
        <v>0</v>
      </c>
      <c r="AO29" s="20">
        <f ca="1">+'TUSD BE'!$T$29+'TUSD BE'!$AB$29+'TUSD BE'!$AD$29+'TUSD BE'!$AL$29</f>
        <v>0.8640276214125725</v>
      </c>
      <c r="AP29" s="20">
        <f ca="1">+'TUSD BE'!$T$29+'TUSD BE'!$AB$29+'TUSD BE'!$AD$29+'TUSD BE'!$AL$29</f>
        <v>0.8640276214125725</v>
      </c>
    </row>
    <row r="30" spans="1:42" ht="11.25" customHeight="1" x14ac:dyDescent="0.3">
      <c r="A30" s="91" t="s">
        <v>39</v>
      </c>
      <c r="B30" s="91" t="s">
        <v>82</v>
      </c>
      <c r="C30" s="91" t="s">
        <v>40</v>
      </c>
      <c r="D30" s="91" t="s">
        <v>25</v>
      </c>
      <c r="E30" s="91" t="s">
        <v>25</v>
      </c>
      <c r="F30" s="91" t="s">
        <v>25</v>
      </c>
      <c r="G30" s="18" t="s">
        <v>69</v>
      </c>
      <c r="H30" s="18" t="s">
        <v>68</v>
      </c>
      <c r="I30" s="18">
        <f>'MERCADO TUSD'!$U$27</f>
        <v>0</v>
      </c>
      <c r="J30" s="15"/>
      <c r="L30" s="13">
        <f>'TUSD BE'!$L$30*'TUSD BF'!$L$58</f>
        <v>0</v>
      </c>
      <c r="M30" s="13">
        <f>'TUSD BE'!$M$30*'TUSD BF'!$M$58</f>
        <v>0</v>
      </c>
      <c r="N30" s="13">
        <f ca="1">'TUSD BE'!$N$30*'TUSD BF'!$N$58</f>
        <v>0</v>
      </c>
      <c r="O30" s="13">
        <f>'TUSD BE'!$O$30*'TUSD BF'!$O$58</f>
        <v>0</v>
      </c>
      <c r="P30" s="13">
        <f>'TUSD BE'!$P$30*'TUSD BF'!$P$58</f>
        <v>0</v>
      </c>
      <c r="Q30" s="13">
        <f>'TUSD BE'!$Q$30*'TUSD BF'!$Q$58</f>
        <v>0</v>
      </c>
      <c r="R30" s="13">
        <f>'TUSD BE'!$R$30*'TUSD BF'!$R$58</f>
        <v>0</v>
      </c>
      <c r="S30" s="13">
        <f>'TUSD BE'!$R$30*'TUSD BF'!$S$58</f>
        <v>0</v>
      </c>
      <c r="T30" s="13">
        <f ca="1">SUM($L$30:$S$30)</f>
        <v>0</v>
      </c>
      <c r="U30" s="13">
        <f>'TUSD BE'!$U$30*'TUSD BF'!$U$58</f>
        <v>0</v>
      </c>
      <c r="V30" s="13">
        <f>'TUSD BE'!$V$30*'TUSD BF'!$V$58</f>
        <v>0</v>
      </c>
      <c r="W30" s="13">
        <f>'TUSD BE'!$W$30*'TUSD BF'!$W$58</f>
        <v>0</v>
      </c>
      <c r="X30" s="13">
        <f>'TUSD BE'!$X$30*'TUSD BF'!$X$58</f>
        <v>0</v>
      </c>
      <c r="Y30" s="13">
        <f>'TUSD BE'!$Y$30*'TUSD BF'!$Y$58</f>
        <v>0</v>
      </c>
      <c r="Z30" s="13">
        <f>'TUSD BE'!$Z$30*'TUSD BF'!$Z$58</f>
        <v>0</v>
      </c>
      <c r="AA30" s="13">
        <f>'TUSD BE'!$AA$30*'TUSD BF'!$AA$58</f>
        <v>0</v>
      </c>
      <c r="AB30" s="13">
        <f>SUM($U$30:$AA$30)</f>
        <v>0</v>
      </c>
      <c r="AC30" s="13">
        <f>'TUSD BE'!$AC$30*'TUSD BF'!$AC$58</f>
        <v>0</v>
      </c>
      <c r="AD30" s="13">
        <f>SUM($AC$30:$AC$30)</f>
        <v>0</v>
      </c>
      <c r="AE30" s="13">
        <f ca="1">$AO$30*$AO$55</f>
        <v>0</v>
      </c>
      <c r="AF30" s="13">
        <f ca="1">$AP$30*$AP$55</f>
        <v>0</v>
      </c>
      <c r="AG30" s="13">
        <f ca="1">SUM($AE$30:$AF$30)</f>
        <v>0</v>
      </c>
      <c r="AH30" s="13">
        <f>'TUSD BE'!$AH$30*'TUSD BF'!$AH$58</f>
        <v>0</v>
      </c>
      <c r="AI30" s="13">
        <f>'TUSD BE'!$AI$30*'TUSD BF'!$AI$58</f>
        <v>0</v>
      </c>
      <c r="AJ30" s="13">
        <f ca="1">'TUSD BE'!$AJ$30*'TUSD BF'!$AJ$58</f>
        <v>0</v>
      </c>
      <c r="AK30" s="13">
        <f ca="1">'TUSD BE'!$AK$30*'TUSD BF'!$AK$58</f>
        <v>0</v>
      </c>
      <c r="AL30" s="13">
        <f ca="1">SUM($AH$30:$AK$30)</f>
        <v>0</v>
      </c>
      <c r="AM30" s="13">
        <f ca="1">SUMIF($L$4:$AL$4,"SUBTOTAL",$L$30:$AL$30)</f>
        <v>0</v>
      </c>
      <c r="AO30" s="20">
        <f ca="1">+'TUSD BE'!$T$30+'TUSD BE'!$AB$30+'TUSD BE'!$AD$30+'TUSD BE'!$AL$30</f>
        <v>989.01969408539469</v>
      </c>
      <c r="AP30" s="20">
        <f ca="1">+'TUSD BE'!$T$30+'TUSD BE'!$AB$30+'TUSD BE'!$AD$30+'TUSD BE'!$AL$30</f>
        <v>989.01969408539469</v>
      </c>
    </row>
    <row r="31" spans="1:42" ht="11.25" customHeight="1" x14ac:dyDescent="0.3">
      <c r="A31" s="91"/>
      <c r="B31" s="91"/>
      <c r="C31" s="91"/>
      <c r="D31" s="91"/>
      <c r="E31" s="91"/>
      <c r="F31" s="91"/>
      <c r="G31" s="18" t="s">
        <v>80</v>
      </c>
      <c r="H31" s="18" t="s">
        <v>68</v>
      </c>
      <c r="I31" s="18">
        <f>'MERCADO TUSD'!$U$28</f>
        <v>0</v>
      </c>
      <c r="J31" s="15"/>
      <c r="L31" s="13">
        <f>'TUSD BE'!$L$31*'TUSD BF'!$L$58</f>
        <v>0</v>
      </c>
      <c r="M31" s="13">
        <f>'TUSD BE'!$M$31*'TUSD BF'!$M$58</f>
        <v>0</v>
      </c>
      <c r="N31" s="13">
        <f ca="1">'TUSD BE'!$N$31*'TUSD BF'!$N$58</f>
        <v>0</v>
      </c>
      <c r="O31" s="13">
        <f>'TUSD BE'!$O$31*'TUSD BF'!$O$58</f>
        <v>0</v>
      </c>
      <c r="P31" s="13">
        <f>'TUSD BE'!$P$31*'TUSD BF'!$P$58</f>
        <v>0</v>
      </c>
      <c r="Q31" s="13">
        <f>'TUSD BE'!$Q$31*'TUSD BF'!$Q$58</f>
        <v>0</v>
      </c>
      <c r="R31" s="13">
        <f>'TUSD BE'!$R$31*'TUSD BF'!$R$58</f>
        <v>0</v>
      </c>
      <c r="S31" s="13">
        <f>'TUSD BE'!$R$31*'TUSD BF'!$S$58</f>
        <v>0</v>
      </c>
      <c r="T31" s="13">
        <f ca="1">SUM($L$31:$S$31)</f>
        <v>0</v>
      </c>
      <c r="U31" s="13">
        <f>'TUSD BE'!$U$31*'TUSD BF'!$U$58</f>
        <v>0</v>
      </c>
      <c r="V31" s="13">
        <f>'TUSD BE'!$V$31*'TUSD BF'!$V$58</f>
        <v>0</v>
      </c>
      <c r="W31" s="13">
        <f>'TUSD BE'!$W$31*'TUSD BF'!$W$58</f>
        <v>0</v>
      </c>
      <c r="X31" s="13">
        <f>'TUSD BE'!$X$31*'TUSD BF'!$X$58</f>
        <v>0</v>
      </c>
      <c r="Y31" s="13">
        <f>'TUSD BE'!$Y$31*'TUSD BF'!$Y$58</f>
        <v>0</v>
      </c>
      <c r="Z31" s="13">
        <f>'TUSD BE'!$Z$31*'TUSD BF'!$Z$58</f>
        <v>0</v>
      </c>
      <c r="AA31" s="13">
        <f>'TUSD BE'!$AA$31*'TUSD BF'!$AA$58</f>
        <v>0</v>
      </c>
      <c r="AB31" s="13">
        <f>SUM($U$31:$AA$31)</f>
        <v>0</v>
      </c>
      <c r="AC31" s="13">
        <f>'TUSD BE'!$AC$31*'TUSD BF'!$AC$58</f>
        <v>0</v>
      </c>
      <c r="AD31" s="13">
        <f>SUM($AC$31:$AC$31)</f>
        <v>0</v>
      </c>
      <c r="AE31" s="13">
        <f ca="1">$AO$31*$AO$55</f>
        <v>0</v>
      </c>
      <c r="AF31" s="13">
        <f ca="1">$AP$31*$AP$55</f>
        <v>0</v>
      </c>
      <c r="AG31" s="13">
        <f ca="1">SUM($AE$31:$AF$31)</f>
        <v>0</v>
      </c>
      <c r="AH31" s="13">
        <f>'TUSD BE'!$AH$31*'TUSD BF'!$AH$58</f>
        <v>0</v>
      </c>
      <c r="AI31" s="13">
        <f>'TUSD BE'!$AI$31*'TUSD BF'!$AI$58</f>
        <v>0</v>
      </c>
      <c r="AJ31" s="13">
        <f ca="1">'TUSD BE'!$AJ$31*'TUSD BF'!$AJ$58</f>
        <v>0</v>
      </c>
      <c r="AK31" s="13">
        <f ca="1">'TUSD BE'!$AK$31*'TUSD BF'!$AK$58</f>
        <v>0</v>
      </c>
      <c r="AL31" s="13">
        <f ca="1">SUM($AH$31:$AK$31)</f>
        <v>0</v>
      </c>
      <c r="AM31" s="13">
        <f ca="1">SUMIF($L$4:$AL$4,"SUBTOTAL",$L$31:$AL$31)</f>
        <v>0</v>
      </c>
      <c r="AO31" s="20">
        <f ca="1">+'TUSD BE'!$T$31+'TUSD BE'!$AB$31+'TUSD BE'!$AD$31+'TUSD BE'!$AL$31</f>
        <v>642.18390772545763</v>
      </c>
      <c r="AP31" s="20">
        <f ca="1">+'TUSD BE'!$T$31+'TUSD BE'!$AB$31+'TUSD BE'!$AD$31+'TUSD BE'!$AL$31</f>
        <v>642.18390772545763</v>
      </c>
    </row>
    <row r="32" spans="1:42" ht="11.25" customHeight="1" x14ac:dyDescent="0.3">
      <c r="A32" s="91"/>
      <c r="B32" s="91"/>
      <c r="C32" s="91"/>
      <c r="D32" s="91"/>
      <c r="E32" s="91"/>
      <c r="F32" s="91"/>
      <c r="G32" s="18" t="s">
        <v>70</v>
      </c>
      <c r="H32" s="18" t="s">
        <v>68</v>
      </c>
      <c r="I32" s="18">
        <f>'MERCADO TUSD'!$U$29</f>
        <v>0</v>
      </c>
      <c r="J32" s="15"/>
      <c r="L32" s="13">
        <f>'TUSD BE'!$L$32*'TUSD BF'!$L$58</f>
        <v>0</v>
      </c>
      <c r="M32" s="13">
        <f>'TUSD BE'!$M$32*'TUSD BF'!$M$58</f>
        <v>0</v>
      </c>
      <c r="N32" s="13">
        <f ca="1">'TUSD BE'!$N$32*'TUSD BF'!$N$58</f>
        <v>0</v>
      </c>
      <c r="O32" s="13">
        <f>'TUSD BE'!$O$32*'TUSD BF'!$O$58</f>
        <v>0</v>
      </c>
      <c r="P32" s="13">
        <f>'TUSD BE'!$P$32*'TUSD BF'!$P$58</f>
        <v>0</v>
      </c>
      <c r="Q32" s="13">
        <f>'TUSD BE'!$Q$32*'TUSD BF'!$Q$58</f>
        <v>0</v>
      </c>
      <c r="R32" s="13">
        <f>'TUSD BE'!$R$32*'TUSD BF'!$R$58</f>
        <v>0</v>
      </c>
      <c r="S32" s="13">
        <f>'TUSD BE'!$R$32*'TUSD BF'!$S$58</f>
        <v>0</v>
      </c>
      <c r="T32" s="13">
        <f ca="1">SUM($L$32:$S$32)</f>
        <v>0</v>
      </c>
      <c r="U32" s="13">
        <f>'TUSD BE'!$U$32*'TUSD BF'!$U$58</f>
        <v>0</v>
      </c>
      <c r="V32" s="13">
        <f>'TUSD BE'!$V$32*'TUSD BF'!$V$58</f>
        <v>0</v>
      </c>
      <c r="W32" s="13">
        <f>'TUSD BE'!$W$32*'TUSD BF'!$W$58</f>
        <v>0</v>
      </c>
      <c r="X32" s="13">
        <f>'TUSD BE'!$X$32*'TUSD BF'!$X$58</f>
        <v>0</v>
      </c>
      <c r="Y32" s="13">
        <f>'TUSD BE'!$Y$32*'TUSD BF'!$Y$58</f>
        <v>0</v>
      </c>
      <c r="Z32" s="13">
        <f>'TUSD BE'!$Z$32*'TUSD BF'!$Z$58</f>
        <v>0</v>
      </c>
      <c r="AA32" s="13">
        <f>'TUSD BE'!$AA$32*'TUSD BF'!$AA$58</f>
        <v>0</v>
      </c>
      <c r="AB32" s="13">
        <f>SUM($U$32:$AA$32)</f>
        <v>0</v>
      </c>
      <c r="AC32" s="13">
        <f>'TUSD BE'!$AC$32*'TUSD BF'!$AC$58</f>
        <v>0</v>
      </c>
      <c r="AD32" s="13">
        <f>SUM($AC$32:$AC$32)</f>
        <v>0</v>
      </c>
      <c r="AE32" s="13">
        <f ca="1">$AO$32*$AO$55</f>
        <v>0</v>
      </c>
      <c r="AF32" s="13">
        <f ca="1">$AP$32*$AP$55</f>
        <v>0</v>
      </c>
      <c r="AG32" s="13">
        <f ca="1">SUM($AE$32:$AF$32)</f>
        <v>0</v>
      </c>
      <c r="AH32" s="13">
        <f>'TUSD BE'!$AH$32*'TUSD BF'!$AH$58</f>
        <v>0</v>
      </c>
      <c r="AI32" s="13">
        <f>'TUSD BE'!$AI$32*'TUSD BF'!$AI$58</f>
        <v>0</v>
      </c>
      <c r="AJ32" s="13">
        <f ca="1">'TUSD BE'!$AJ$32*'TUSD BF'!$AJ$58</f>
        <v>0</v>
      </c>
      <c r="AK32" s="13">
        <f ca="1">'TUSD BE'!$AK$32*'TUSD BF'!$AK$58</f>
        <v>0</v>
      </c>
      <c r="AL32" s="13">
        <f ca="1">SUM($AH$32:$AK$32)</f>
        <v>0</v>
      </c>
      <c r="AM32" s="13">
        <f ca="1">SUMIF($L$4:$AL$4,"SUBTOTAL",$L$32:$AL$32)</f>
        <v>0</v>
      </c>
      <c r="AO32" s="20">
        <f ca="1">+'TUSD BE'!$T$32+'TUSD BE'!$AB$32+'TUSD BE'!$AD$32+'TUSD BE'!$AL$32</f>
        <v>295.34831544465993</v>
      </c>
      <c r="AP32" s="20">
        <f ca="1">+'TUSD BE'!$T$32+'TUSD BE'!$AB$32+'TUSD BE'!$AD$32+'TUSD BE'!$AL$32</f>
        <v>295.34831544465993</v>
      </c>
    </row>
    <row r="33" spans="1:42" ht="11.25" customHeight="1" x14ac:dyDescent="0.3">
      <c r="A33" s="91"/>
      <c r="B33" s="17" t="s">
        <v>23</v>
      </c>
      <c r="C33" s="17" t="s">
        <v>40</v>
      </c>
      <c r="D33" s="17" t="s">
        <v>25</v>
      </c>
      <c r="E33" s="17" t="s">
        <v>25</v>
      </c>
      <c r="F33" s="17" t="s">
        <v>25</v>
      </c>
      <c r="G33" s="18" t="s">
        <v>74</v>
      </c>
      <c r="H33" s="18" t="s">
        <v>68</v>
      </c>
      <c r="I33" s="18">
        <f>'MERCADO TUSD'!$U$30</f>
        <v>5733.0710000000008</v>
      </c>
      <c r="J33" s="15"/>
      <c r="L33" s="13">
        <f>'TUSD BE'!$L$33*'TUSD BF'!$L$58</f>
        <v>0</v>
      </c>
      <c r="M33" s="13">
        <f>'TUSD BE'!$M$33*'TUSD BF'!$M$58</f>
        <v>0</v>
      </c>
      <c r="N33" s="13">
        <f ca="1">'TUSD BE'!$N$33*'TUSD BF'!$N$58</f>
        <v>0</v>
      </c>
      <c r="O33" s="13">
        <f>'TUSD BE'!$O$33*'TUSD BF'!$O$58</f>
        <v>0</v>
      </c>
      <c r="P33" s="13">
        <f>'TUSD BE'!$P$33*'TUSD BF'!$P$58</f>
        <v>0</v>
      </c>
      <c r="Q33" s="13">
        <f>'TUSD BE'!$Q$33*'TUSD BF'!$Q$58</f>
        <v>0</v>
      </c>
      <c r="R33" s="13">
        <f>'TUSD BE'!$R$33*'TUSD BF'!$R$58</f>
        <v>0</v>
      </c>
      <c r="S33" s="13">
        <f>'TUSD BE'!$R$33*'TUSD BF'!$S$58</f>
        <v>0</v>
      </c>
      <c r="T33" s="13">
        <f ca="1">SUM($L$33:$S$33)</f>
        <v>0</v>
      </c>
      <c r="U33" s="13">
        <f>'TUSD BE'!$U$33*'TUSD BF'!$U$58</f>
        <v>0</v>
      </c>
      <c r="V33" s="13">
        <f>'TUSD BE'!$V$33*'TUSD BF'!$V$58</f>
        <v>0</v>
      </c>
      <c r="W33" s="13">
        <f>'TUSD BE'!$W$33*'TUSD BF'!$W$58</f>
        <v>0</v>
      </c>
      <c r="X33" s="13">
        <f>'TUSD BE'!$X$33*'TUSD BF'!$X$58</f>
        <v>0</v>
      </c>
      <c r="Y33" s="13">
        <f>'TUSD BE'!$Y$33*'TUSD BF'!$Y$58</f>
        <v>0</v>
      </c>
      <c r="Z33" s="13">
        <f>'TUSD BE'!$Z$33*'TUSD BF'!$Z$58</f>
        <v>0</v>
      </c>
      <c r="AA33" s="13">
        <f>'TUSD BE'!$AA$33*'TUSD BF'!$AA$58</f>
        <v>0</v>
      </c>
      <c r="AB33" s="13">
        <f>SUM($U$33:$AA$33)</f>
        <v>0</v>
      </c>
      <c r="AC33" s="13">
        <f>'TUSD BE'!$AC$33*'TUSD BF'!$AC$58</f>
        <v>0</v>
      </c>
      <c r="AD33" s="13">
        <f>SUM($AC$33:$AC$33)</f>
        <v>0</v>
      </c>
      <c r="AE33" s="13">
        <f ca="1">$AO$33*$AO$55</f>
        <v>0</v>
      </c>
      <c r="AF33" s="13">
        <f ca="1">$AP$33*$AP$55</f>
        <v>0</v>
      </c>
      <c r="AG33" s="13">
        <f ca="1">SUM($AE$33:$AF$33)</f>
        <v>0</v>
      </c>
      <c r="AH33" s="13">
        <f>'TUSD BE'!$AH$33*'TUSD BF'!$AH$58</f>
        <v>0</v>
      </c>
      <c r="AI33" s="13">
        <f>'TUSD BE'!$AI$33*'TUSD BF'!$AI$58</f>
        <v>0</v>
      </c>
      <c r="AJ33" s="13">
        <f ca="1">'TUSD BE'!$AJ$33*'TUSD BF'!$AJ$58</f>
        <v>0</v>
      </c>
      <c r="AK33" s="13">
        <f ca="1">'TUSD BE'!$AK$33*'TUSD BF'!$AK$58</f>
        <v>0</v>
      </c>
      <c r="AL33" s="13">
        <f ca="1">SUM($AH$33:$AK$33)</f>
        <v>0</v>
      </c>
      <c r="AM33" s="13">
        <f ca="1">SUMIF($L$4:$AL$4,"SUBTOTAL",$L$33:$AL$33)</f>
        <v>0</v>
      </c>
      <c r="AO33" s="20">
        <f ca="1">+'TUSD BE'!$T$33+'TUSD BE'!$AB$33+'TUSD BE'!$AD$33+'TUSD BE'!$AL$33</f>
        <v>415.88745245281598</v>
      </c>
      <c r="AP33" s="20">
        <f ca="1">+'TUSD BE'!$T$33+'TUSD BE'!$AB$33+'TUSD BE'!$AD$33+'TUSD BE'!$AL$33</f>
        <v>415.88745245281598</v>
      </c>
    </row>
    <row r="34" spans="1:42" ht="11.25" customHeight="1" x14ac:dyDescent="0.3">
      <c r="A34" s="91"/>
      <c r="B34" s="91" t="s">
        <v>82</v>
      </c>
      <c r="C34" s="91" t="s">
        <v>40</v>
      </c>
      <c r="D34" s="91" t="s">
        <v>85</v>
      </c>
      <c r="E34" s="91" t="s">
        <v>25</v>
      </c>
      <c r="F34" s="91" t="s">
        <v>25</v>
      </c>
      <c r="G34" s="18" t="s">
        <v>69</v>
      </c>
      <c r="H34" s="18" t="s">
        <v>68</v>
      </c>
      <c r="I34" s="18">
        <f>'MERCADO TUSD'!$U$31</f>
        <v>0</v>
      </c>
      <c r="J34" s="15"/>
      <c r="L34" s="13">
        <f>'TUSD BE'!$L$34*'TUSD BF'!$L$58</f>
        <v>0</v>
      </c>
      <c r="M34" s="13">
        <f>'TUSD BE'!$M$34*'TUSD BF'!$M$58</f>
        <v>0</v>
      </c>
      <c r="N34" s="13">
        <f ca="1">'TUSD BE'!$N$34*'TUSD BF'!$N$58</f>
        <v>0</v>
      </c>
      <c r="O34" s="13">
        <f>'TUSD BE'!$O$34*'TUSD BF'!$O$58</f>
        <v>0</v>
      </c>
      <c r="P34" s="13">
        <f>'TUSD BE'!$P$34*'TUSD BF'!$P$58</f>
        <v>0</v>
      </c>
      <c r="Q34" s="13">
        <f>'TUSD BE'!$Q$34*'TUSD BF'!$Q$58</f>
        <v>0</v>
      </c>
      <c r="R34" s="13">
        <f>'TUSD BE'!$R$34*'TUSD BF'!$R$58</f>
        <v>0</v>
      </c>
      <c r="S34" s="13">
        <f>'TUSD BE'!$R$34*'TUSD BF'!$S$58</f>
        <v>0</v>
      </c>
      <c r="T34" s="13">
        <f ca="1">SUM($L$34:$S$34)</f>
        <v>0</v>
      </c>
      <c r="U34" s="13">
        <f>'TUSD BE'!$U$34*'TUSD BF'!$U$58</f>
        <v>0</v>
      </c>
      <c r="V34" s="13">
        <f>'TUSD BE'!$V$34*'TUSD BF'!$V$58</f>
        <v>0</v>
      </c>
      <c r="W34" s="13">
        <f>'TUSD BE'!$W$34*'TUSD BF'!$W$58</f>
        <v>0</v>
      </c>
      <c r="X34" s="13">
        <f>'TUSD BE'!$X$34*'TUSD BF'!$X$58</f>
        <v>0</v>
      </c>
      <c r="Y34" s="13">
        <f>'TUSD BE'!$Y$34*'TUSD BF'!$Y$58</f>
        <v>0</v>
      </c>
      <c r="Z34" s="13">
        <f>'TUSD BE'!$Z$34*'TUSD BF'!$Z$58</f>
        <v>0</v>
      </c>
      <c r="AA34" s="13">
        <f>'TUSD BE'!$AA$34*'TUSD BF'!$AA$58</f>
        <v>0</v>
      </c>
      <c r="AB34" s="13">
        <f>SUM($U$34:$AA$34)</f>
        <v>0</v>
      </c>
      <c r="AC34" s="13">
        <f>'TUSD BE'!$AC$34*'TUSD BF'!$AC$58</f>
        <v>0</v>
      </c>
      <c r="AD34" s="13">
        <f>SUM($AC$34:$AC$34)</f>
        <v>0</v>
      </c>
      <c r="AE34" s="13">
        <f ca="1">$AO$34*$AO$55</f>
        <v>0</v>
      </c>
      <c r="AF34" s="13">
        <f ca="1">$AP$34*$AP$55</f>
        <v>0</v>
      </c>
      <c r="AG34" s="13">
        <f ca="1">SUM($AE$34:$AF$34)</f>
        <v>0</v>
      </c>
      <c r="AH34" s="13">
        <f>'TUSD BE'!$AH$34*'TUSD BF'!$AH$58</f>
        <v>0</v>
      </c>
      <c r="AI34" s="13">
        <f>'TUSD BE'!$AI$34*'TUSD BF'!$AI$58</f>
        <v>0</v>
      </c>
      <c r="AJ34" s="13">
        <f ca="1">'TUSD BE'!$AJ$34*'TUSD BF'!$AJ$58</f>
        <v>0</v>
      </c>
      <c r="AK34" s="13">
        <f ca="1">'TUSD BE'!$AK$34*'TUSD BF'!$AK$58</f>
        <v>0</v>
      </c>
      <c r="AL34" s="13">
        <f ca="1">SUM($AH$34:$AK$34)</f>
        <v>0</v>
      </c>
      <c r="AM34" s="13">
        <f ca="1">SUMIF($L$4:$AL$4,"SUBTOTAL",$L$34:$AL$34)</f>
        <v>0</v>
      </c>
      <c r="AO34" s="20">
        <f ca="1">+'TUSD BE'!$T$34+'TUSD BE'!$AB$34+'TUSD BE'!$AD$34+'TUSD BE'!$AL$34</f>
        <v>989.01969408539469</v>
      </c>
      <c r="AP34" s="20">
        <f ca="1">+'TUSD BE'!$T$34+'TUSD BE'!$AB$34+'TUSD BE'!$AD$34+'TUSD BE'!$AL$34</f>
        <v>989.01969408539469</v>
      </c>
    </row>
    <row r="35" spans="1:42" ht="11.25" customHeight="1" x14ac:dyDescent="0.3">
      <c r="A35" s="91"/>
      <c r="B35" s="91"/>
      <c r="C35" s="91"/>
      <c r="D35" s="91"/>
      <c r="E35" s="91"/>
      <c r="F35" s="91"/>
      <c r="G35" s="18" t="s">
        <v>80</v>
      </c>
      <c r="H35" s="18" t="s">
        <v>68</v>
      </c>
      <c r="I35" s="18">
        <f>'MERCADO TUSD'!$U$32</f>
        <v>0</v>
      </c>
      <c r="J35" s="15"/>
      <c r="L35" s="13">
        <f>'TUSD BE'!$L$35*'TUSD BF'!$L$58</f>
        <v>0</v>
      </c>
      <c r="M35" s="13">
        <f>'TUSD BE'!$M$35*'TUSD BF'!$M$58</f>
        <v>0</v>
      </c>
      <c r="N35" s="13">
        <f ca="1">'TUSD BE'!$N$35*'TUSD BF'!$N$58</f>
        <v>0</v>
      </c>
      <c r="O35" s="13">
        <f>'TUSD BE'!$O$35*'TUSD BF'!$O$58</f>
        <v>0</v>
      </c>
      <c r="P35" s="13">
        <f>'TUSD BE'!$P$35*'TUSD BF'!$P$58</f>
        <v>0</v>
      </c>
      <c r="Q35" s="13">
        <f>'TUSD BE'!$Q$35*'TUSD BF'!$Q$58</f>
        <v>0</v>
      </c>
      <c r="R35" s="13">
        <f>'TUSD BE'!$R$35*'TUSD BF'!$R$58</f>
        <v>0</v>
      </c>
      <c r="S35" s="13">
        <f>'TUSD BE'!$R$35*'TUSD BF'!$S$58</f>
        <v>0</v>
      </c>
      <c r="T35" s="13">
        <f ca="1">SUM($L$35:$S$35)</f>
        <v>0</v>
      </c>
      <c r="U35" s="13">
        <f>'TUSD BE'!$U$35*'TUSD BF'!$U$58</f>
        <v>0</v>
      </c>
      <c r="V35" s="13">
        <f>'TUSD BE'!$V$35*'TUSD BF'!$V$58</f>
        <v>0</v>
      </c>
      <c r="W35" s="13">
        <f>'TUSD BE'!$W$35*'TUSD BF'!$W$58</f>
        <v>0</v>
      </c>
      <c r="X35" s="13">
        <f>'TUSD BE'!$X$35*'TUSD BF'!$X$58</f>
        <v>0</v>
      </c>
      <c r="Y35" s="13">
        <f>'TUSD BE'!$Y$35*'TUSD BF'!$Y$58</f>
        <v>0</v>
      </c>
      <c r="Z35" s="13">
        <f>'TUSD BE'!$Z$35*'TUSD BF'!$Z$58</f>
        <v>0</v>
      </c>
      <c r="AA35" s="13">
        <f>'TUSD BE'!$AA$35*'TUSD BF'!$AA$58</f>
        <v>0</v>
      </c>
      <c r="AB35" s="13">
        <f>SUM($U$35:$AA$35)</f>
        <v>0</v>
      </c>
      <c r="AC35" s="13">
        <f>'TUSD BE'!$AC$35*'TUSD BF'!$AC$58</f>
        <v>0</v>
      </c>
      <c r="AD35" s="13">
        <f>SUM($AC$35:$AC$35)</f>
        <v>0</v>
      </c>
      <c r="AE35" s="13">
        <f ca="1">$AO$35*$AO$55</f>
        <v>0</v>
      </c>
      <c r="AF35" s="13">
        <f ca="1">$AP$35*$AP$55</f>
        <v>0</v>
      </c>
      <c r="AG35" s="13">
        <f ca="1">SUM($AE$35:$AF$35)</f>
        <v>0</v>
      </c>
      <c r="AH35" s="13">
        <f>'TUSD BE'!$AH$35*'TUSD BF'!$AH$58</f>
        <v>0</v>
      </c>
      <c r="AI35" s="13">
        <f>'TUSD BE'!$AI$35*'TUSD BF'!$AI$58</f>
        <v>0</v>
      </c>
      <c r="AJ35" s="13">
        <f ca="1">'TUSD BE'!$AJ$35*'TUSD BF'!$AJ$58</f>
        <v>0</v>
      </c>
      <c r="AK35" s="13">
        <f ca="1">'TUSD BE'!$AK$35*'TUSD BF'!$AK$58</f>
        <v>0</v>
      </c>
      <c r="AL35" s="13">
        <f ca="1">SUM($AH$35:$AK$35)</f>
        <v>0</v>
      </c>
      <c r="AM35" s="13">
        <f ca="1">SUMIF($L$4:$AL$4,"SUBTOTAL",$L$35:$AL$35)</f>
        <v>0</v>
      </c>
      <c r="AO35" s="20">
        <f ca="1">+'TUSD BE'!$T$35+'TUSD BE'!$AB$35+'TUSD BE'!$AD$35+'TUSD BE'!$AL$35</f>
        <v>642.18390772545763</v>
      </c>
      <c r="AP35" s="20">
        <f ca="1">+'TUSD BE'!$T$35+'TUSD BE'!$AB$35+'TUSD BE'!$AD$35+'TUSD BE'!$AL$35</f>
        <v>642.18390772545763</v>
      </c>
    </row>
    <row r="36" spans="1:42" ht="11.25" customHeight="1" x14ac:dyDescent="0.3">
      <c r="A36" s="91"/>
      <c r="B36" s="91"/>
      <c r="C36" s="91"/>
      <c r="D36" s="91"/>
      <c r="E36" s="91"/>
      <c r="F36" s="91"/>
      <c r="G36" s="18" t="s">
        <v>70</v>
      </c>
      <c r="H36" s="18" t="s">
        <v>68</v>
      </c>
      <c r="I36" s="18">
        <f>'MERCADO TUSD'!$U$33</f>
        <v>0</v>
      </c>
      <c r="J36" s="15"/>
      <c r="L36" s="13">
        <f>'TUSD BE'!$L$36*'TUSD BF'!$L$58</f>
        <v>0</v>
      </c>
      <c r="M36" s="13">
        <f>'TUSD BE'!$M$36*'TUSD BF'!$M$58</f>
        <v>0</v>
      </c>
      <c r="N36" s="13">
        <f ca="1">'TUSD BE'!$N$36*'TUSD BF'!$N$58</f>
        <v>0</v>
      </c>
      <c r="O36" s="13">
        <f>'TUSD BE'!$O$36*'TUSD BF'!$O$58</f>
        <v>0</v>
      </c>
      <c r="P36" s="13">
        <f>'TUSD BE'!$P$36*'TUSD BF'!$P$58</f>
        <v>0</v>
      </c>
      <c r="Q36" s="13">
        <f>'TUSD BE'!$Q$36*'TUSD BF'!$Q$58</f>
        <v>0</v>
      </c>
      <c r="R36" s="13">
        <f>'TUSD BE'!$R$36*'TUSD BF'!$R$58</f>
        <v>0</v>
      </c>
      <c r="S36" s="13">
        <f>'TUSD BE'!$R$36*'TUSD BF'!$S$58</f>
        <v>0</v>
      </c>
      <c r="T36" s="13">
        <f ca="1">SUM($L$36:$S$36)</f>
        <v>0</v>
      </c>
      <c r="U36" s="13">
        <f>'TUSD BE'!$U$36*'TUSD BF'!$U$58</f>
        <v>0</v>
      </c>
      <c r="V36" s="13">
        <f>'TUSD BE'!$V$36*'TUSD BF'!$V$58</f>
        <v>0</v>
      </c>
      <c r="W36" s="13">
        <f>'TUSD BE'!$W$36*'TUSD BF'!$W$58</f>
        <v>0</v>
      </c>
      <c r="X36" s="13">
        <f>'TUSD BE'!$X$36*'TUSD BF'!$X$58</f>
        <v>0</v>
      </c>
      <c r="Y36" s="13">
        <f>'TUSD BE'!$Y$36*'TUSD BF'!$Y$58</f>
        <v>0</v>
      </c>
      <c r="Z36" s="13">
        <f>'TUSD BE'!$Z$36*'TUSD BF'!$Z$58</f>
        <v>0</v>
      </c>
      <c r="AA36" s="13">
        <f>'TUSD BE'!$AA$36*'TUSD BF'!$AA$58</f>
        <v>0</v>
      </c>
      <c r="AB36" s="13">
        <f>SUM($U$36:$AA$36)</f>
        <v>0</v>
      </c>
      <c r="AC36" s="13">
        <f>'TUSD BE'!$AC$36*'TUSD BF'!$AC$58</f>
        <v>0</v>
      </c>
      <c r="AD36" s="13">
        <f>SUM($AC$36:$AC$36)</f>
        <v>0</v>
      </c>
      <c r="AE36" s="13">
        <f ca="1">$AO$36*$AO$55</f>
        <v>0</v>
      </c>
      <c r="AF36" s="13">
        <f ca="1">$AP$36*$AP$55</f>
        <v>0</v>
      </c>
      <c r="AG36" s="13">
        <f ca="1">SUM($AE$36:$AF$36)</f>
        <v>0</v>
      </c>
      <c r="AH36" s="13">
        <f>'TUSD BE'!$AH$36*'TUSD BF'!$AH$58</f>
        <v>0</v>
      </c>
      <c r="AI36" s="13">
        <f>'TUSD BE'!$AI$36*'TUSD BF'!$AI$58</f>
        <v>0</v>
      </c>
      <c r="AJ36" s="13">
        <f ca="1">'TUSD BE'!$AJ$36*'TUSD BF'!$AJ$58</f>
        <v>0</v>
      </c>
      <c r="AK36" s="13">
        <f ca="1">'TUSD BE'!$AK$36*'TUSD BF'!$AK$58</f>
        <v>0</v>
      </c>
      <c r="AL36" s="13">
        <f ca="1">SUM($AH$36:$AK$36)</f>
        <v>0</v>
      </c>
      <c r="AM36" s="13">
        <f ca="1">SUMIF($L$4:$AL$4,"SUBTOTAL",$L$36:$AL$36)</f>
        <v>0</v>
      </c>
      <c r="AO36" s="20">
        <f ca="1">+'TUSD BE'!$T$36+'TUSD BE'!$AB$36+'TUSD BE'!$AD$36+'TUSD BE'!$AL$36</f>
        <v>295.34831544465993</v>
      </c>
      <c r="AP36" s="20">
        <f ca="1">+'TUSD BE'!$T$36+'TUSD BE'!$AB$36+'TUSD BE'!$AD$36+'TUSD BE'!$AL$36</f>
        <v>295.34831544465993</v>
      </c>
    </row>
    <row r="37" spans="1:42" ht="11.25" customHeight="1" x14ac:dyDescent="0.3">
      <c r="A37" s="91"/>
      <c r="B37" s="17" t="s">
        <v>23</v>
      </c>
      <c r="C37" s="17" t="s">
        <v>40</v>
      </c>
      <c r="D37" s="17" t="s">
        <v>85</v>
      </c>
      <c r="E37" s="17" t="s">
        <v>25</v>
      </c>
      <c r="F37" s="17" t="s">
        <v>25</v>
      </c>
      <c r="G37" s="18" t="s">
        <v>74</v>
      </c>
      <c r="H37" s="18" t="s">
        <v>68</v>
      </c>
      <c r="I37" s="18">
        <f>'MERCADO TUSD'!$U$34</f>
        <v>0</v>
      </c>
      <c r="J37" s="15"/>
      <c r="L37" s="13">
        <f>'TUSD BE'!$L$37*'TUSD BF'!$L$58</f>
        <v>0</v>
      </c>
      <c r="M37" s="13">
        <f>'TUSD BE'!$M$37*'TUSD BF'!$M$58</f>
        <v>0</v>
      </c>
      <c r="N37" s="13">
        <f ca="1">'TUSD BE'!$N$37*'TUSD BF'!$N$58</f>
        <v>0</v>
      </c>
      <c r="O37" s="13">
        <f>'TUSD BE'!$O$37*'TUSD BF'!$O$58</f>
        <v>0</v>
      </c>
      <c r="P37" s="13">
        <f>'TUSD BE'!$P$37*'TUSD BF'!$P$58</f>
        <v>0</v>
      </c>
      <c r="Q37" s="13">
        <f>'TUSD BE'!$Q$37*'TUSD BF'!$Q$58</f>
        <v>0</v>
      </c>
      <c r="R37" s="13">
        <f>'TUSD BE'!$R$37*'TUSD BF'!$R$58</f>
        <v>0</v>
      </c>
      <c r="S37" s="13">
        <f>'TUSD BE'!$R$37*'TUSD BF'!$S$58</f>
        <v>0</v>
      </c>
      <c r="T37" s="13">
        <f ca="1">SUM($L$37:$S$37)</f>
        <v>0</v>
      </c>
      <c r="U37" s="13">
        <f>'TUSD BE'!$U$37*'TUSD BF'!$U$58</f>
        <v>0</v>
      </c>
      <c r="V37" s="13">
        <f>'TUSD BE'!$V$37*'TUSD BF'!$V$58</f>
        <v>0</v>
      </c>
      <c r="W37" s="13">
        <f>'TUSD BE'!$W$37*'TUSD BF'!$W$58</f>
        <v>0</v>
      </c>
      <c r="X37" s="13">
        <f>'TUSD BE'!$X$37*'TUSD BF'!$X$58</f>
        <v>0</v>
      </c>
      <c r="Y37" s="13">
        <f>'TUSD BE'!$Y$37*'TUSD BF'!$Y$58</f>
        <v>0</v>
      </c>
      <c r="Z37" s="13">
        <f>'TUSD BE'!$Z$37*'TUSD BF'!$Z$58</f>
        <v>0</v>
      </c>
      <c r="AA37" s="13">
        <f>'TUSD BE'!$AA$37*'TUSD BF'!$AA$58</f>
        <v>0</v>
      </c>
      <c r="AB37" s="13">
        <f>SUM($U$37:$AA$37)</f>
        <v>0</v>
      </c>
      <c r="AC37" s="13">
        <f>'TUSD BE'!$AC$37*'TUSD BF'!$AC$58</f>
        <v>0</v>
      </c>
      <c r="AD37" s="13">
        <f>SUM($AC$37:$AC$37)</f>
        <v>0</v>
      </c>
      <c r="AE37" s="13">
        <f ca="1">$AO$37*$AO$55</f>
        <v>0</v>
      </c>
      <c r="AF37" s="13">
        <f ca="1">$AP$37*$AP$55</f>
        <v>0</v>
      </c>
      <c r="AG37" s="13">
        <f ca="1">SUM($AE$37:$AF$37)</f>
        <v>0</v>
      </c>
      <c r="AH37" s="13">
        <f>'TUSD BE'!$AH$37*'TUSD BF'!$AH$58</f>
        <v>0</v>
      </c>
      <c r="AI37" s="13">
        <f>'TUSD BE'!$AI$37*'TUSD BF'!$AI$58</f>
        <v>0</v>
      </c>
      <c r="AJ37" s="13">
        <f ca="1">'TUSD BE'!$AJ$37*'TUSD BF'!$AJ$58</f>
        <v>0</v>
      </c>
      <c r="AK37" s="13">
        <f ca="1">'TUSD BE'!$AK$37*'TUSD BF'!$AK$58</f>
        <v>0</v>
      </c>
      <c r="AL37" s="13">
        <f ca="1">SUM($AH$37:$AK$37)</f>
        <v>0</v>
      </c>
      <c r="AM37" s="13">
        <f ca="1">SUMIF($L$4:$AL$4,"SUBTOTAL",$L$37:$AL$37)</f>
        <v>0</v>
      </c>
      <c r="AO37" s="20">
        <f ca="1">+'TUSD BE'!$T$37+'TUSD BE'!$AB$37+'TUSD BE'!$AD$37+'TUSD BE'!$AL$37</f>
        <v>415.88745245281598</v>
      </c>
      <c r="AP37" s="20">
        <f ca="1">+'TUSD BE'!$T$37+'TUSD BE'!$AB$37+'TUSD BE'!$AD$37+'TUSD BE'!$AL$37</f>
        <v>415.88745245281598</v>
      </c>
    </row>
    <row r="38" spans="1:42" ht="11.25" customHeight="1" x14ac:dyDescent="0.3">
      <c r="A38" s="91"/>
      <c r="B38" s="91" t="s">
        <v>82</v>
      </c>
      <c r="C38" s="91" t="s">
        <v>40</v>
      </c>
      <c r="D38" s="91" t="s">
        <v>86</v>
      </c>
      <c r="E38" s="91" t="s">
        <v>25</v>
      </c>
      <c r="F38" s="91" t="s">
        <v>25</v>
      </c>
      <c r="G38" s="18" t="s">
        <v>69</v>
      </c>
      <c r="H38" s="18" t="s">
        <v>68</v>
      </c>
      <c r="I38" s="18">
        <f>'MERCADO TUSD'!$U$35</f>
        <v>0</v>
      </c>
      <c r="J38" s="15"/>
      <c r="L38" s="13">
        <f>'TUSD BE'!$L$38*'TUSD BF'!$L$58</f>
        <v>0</v>
      </c>
      <c r="M38" s="13">
        <f>'TUSD BE'!$M$38*'TUSD BF'!$M$58</f>
        <v>0</v>
      </c>
      <c r="N38" s="13">
        <f ca="1">'TUSD BE'!$N$38*'TUSD BF'!$N$58</f>
        <v>0</v>
      </c>
      <c r="O38" s="13">
        <f>'TUSD BE'!$O$38*'TUSD BF'!$O$58</f>
        <v>0</v>
      </c>
      <c r="P38" s="13">
        <f>'TUSD BE'!$P$38*'TUSD BF'!$P$58</f>
        <v>0</v>
      </c>
      <c r="Q38" s="13">
        <f>'TUSD BE'!$Q$38*'TUSD BF'!$Q$58</f>
        <v>0</v>
      </c>
      <c r="R38" s="13">
        <f>'TUSD BE'!$R$38*'TUSD BF'!$R$58</f>
        <v>0</v>
      </c>
      <c r="S38" s="13">
        <f>'TUSD BE'!$R$38*'TUSD BF'!$S$58</f>
        <v>0</v>
      </c>
      <c r="T38" s="13">
        <f ca="1">SUM($L$38:$S$38)</f>
        <v>0</v>
      </c>
      <c r="U38" s="13">
        <f>'TUSD BE'!$U$38*'TUSD BF'!$U$58</f>
        <v>0</v>
      </c>
      <c r="V38" s="13">
        <f>'TUSD BE'!$V$38*'TUSD BF'!$V$58</f>
        <v>0</v>
      </c>
      <c r="W38" s="13">
        <f>'TUSD BE'!$W$38*'TUSD BF'!$W$58</f>
        <v>0</v>
      </c>
      <c r="X38" s="13">
        <f>'TUSD BE'!$X$38*'TUSD BF'!$X$58</f>
        <v>0</v>
      </c>
      <c r="Y38" s="13">
        <f>'TUSD BE'!$Y$38*'TUSD BF'!$Y$58</f>
        <v>0</v>
      </c>
      <c r="Z38" s="13">
        <f>'TUSD BE'!$Z$38*'TUSD BF'!$Z$58</f>
        <v>0</v>
      </c>
      <c r="AA38" s="13">
        <f>'TUSD BE'!$AA$38*'TUSD BF'!$AA$58</f>
        <v>0</v>
      </c>
      <c r="AB38" s="13">
        <f>SUM($U$38:$AA$38)</f>
        <v>0</v>
      </c>
      <c r="AC38" s="13">
        <f>'TUSD BE'!$AC$38*'TUSD BF'!$AC$58</f>
        <v>0</v>
      </c>
      <c r="AD38" s="13">
        <f>SUM($AC$38:$AC$38)</f>
        <v>0</v>
      </c>
      <c r="AE38" s="13">
        <f ca="1">$AO$38*$AO$55</f>
        <v>0</v>
      </c>
      <c r="AF38" s="13">
        <f ca="1">$AP$38*$AP$55</f>
        <v>0</v>
      </c>
      <c r="AG38" s="13">
        <f ca="1">SUM($AE$38:$AF$38)</f>
        <v>0</v>
      </c>
      <c r="AH38" s="13">
        <f>'TUSD BE'!$AH$38*'TUSD BF'!$AH$58</f>
        <v>0</v>
      </c>
      <c r="AI38" s="13">
        <f>'TUSD BE'!$AI$38*'TUSD BF'!$AI$58</f>
        <v>0</v>
      </c>
      <c r="AJ38" s="13">
        <f ca="1">'TUSD BE'!$AJ$38*'TUSD BF'!$AJ$58</f>
        <v>0</v>
      </c>
      <c r="AK38" s="13">
        <f ca="1">'TUSD BE'!$AK$38*'TUSD BF'!$AK$58</f>
        <v>0</v>
      </c>
      <c r="AL38" s="13">
        <f ca="1">SUM($AH$38:$AK$38)</f>
        <v>0</v>
      </c>
      <c r="AM38" s="13">
        <f ca="1">SUMIF($L$4:$AL$4,"SUBTOTAL",$L$38:$AL$38)</f>
        <v>0</v>
      </c>
      <c r="AO38" s="20">
        <f ca="1">+'TUSD BE'!$T$38+'TUSD BE'!$AB$38+'TUSD BE'!$AD$38+'TUSD BE'!$AL$38</f>
        <v>989.01969408539469</v>
      </c>
      <c r="AP38" s="20">
        <f ca="1">+'TUSD BE'!$T$38+'TUSD BE'!$AB$38+'TUSD BE'!$AD$38+'TUSD BE'!$AL$38</f>
        <v>989.01969408539469</v>
      </c>
    </row>
    <row r="39" spans="1:42" ht="11.25" customHeight="1" x14ac:dyDescent="0.3">
      <c r="A39" s="91"/>
      <c r="B39" s="91"/>
      <c r="C39" s="91"/>
      <c r="D39" s="91"/>
      <c r="E39" s="91"/>
      <c r="F39" s="91"/>
      <c r="G39" s="18" t="s">
        <v>80</v>
      </c>
      <c r="H39" s="18" t="s">
        <v>68</v>
      </c>
      <c r="I39" s="18">
        <f>'MERCADO TUSD'!$U$36</f>
        <v>0</v>
      </c>
      <c r="J39" s="15"/>
      <c r="L39" s="13">
        <f>'TUSD BE'!$L$39*'TUSD BF'!$L$58</f>
        <v>0</v>
      </c>
      <c r="M39" s="13">
        <f>'TUSD BE'!$M$39*'TUSD BF'!$M$58</f>
        <v>0</v>
      </c>
      <c r="N39" s="13">
        <f ca="1">'TUSD BE'!$N$39*'TUSD BF'!$N$58</f>
        <v>0</v>
      </c>
      <c r="O39" s="13">
        <f>'TUSD BE'!$O$39*'TUSD BF'!$O$58</f>
        <v>0</v>
      </c>
      <c r="P39" s="13">
        <f>'TUSD BE'!$P$39*'TUSD BF'!$P$58</f>
        <v>0</v>
      </c>
      <c r="Q39" s="13">
        <f>'TUSD BE'!$Q$39*'TUSD BF'!$Q$58</f>
        <v>0</v>
      </c>
      <c r="R39" s="13">
        <f>'TUSD BE'!$R$39*'TUSD BF'!$R$58</f>
        <v>0</v>
      </c>
      <c r="S39" s="13">
        <f>'TUSD BE'!$R$39*'TUSD BF'!$S$58</f>
        <v>0</v>
      </c>
      <c r="T39" s="13">
        <f ca="1">SUM($L$39:$S$39)</f>
        <v>0</v>
      </c>
      <c r="U39" s="13">
        <f>'TUSD BE'!$U$39*'TUSD BF'!$U$58</f>
        <v>0</v>
      </c>
      <c r="V39" s="13">
        <f>'TUSD BE'!$V$39*'TUSD BF'!$V$58</f>
        <v>0</v>
      </c>
      <c r="W39" s="13">
        <f>'TUSD BE'!$W$39*'TUSD BF'!$W$58</f>
        <v>0</v>
      </c>
      <c r="X39" s="13">
        <f>'TUSD BE'!$X$39*'TUSD BF'!$X$58</f>
        <v>0</v>
      </c>
      <c r="Y39" s="13">
        <f>'TUSD BE'!$Y$39*'TUSD BF'!$Y$58</f>
        <v>0</v>
      </c>
      <c r="Z39" s="13">
        <f>'TUSD BE'!$Z$39*'TUSD BF'!$Z$58</f>
        <v>0</v>
      </c>
      <c r="AA39" s="13">
        <f>'TUSD BE'!$AA$39*'TUSD BF'!$AA$58</f>
        <v>0</v>
      </c>
      <c r="AB39" s="13">
        <f>SUM($U$39:$AA$39)</f>
        <v>0</v>
      </c>
      <c r="AC39" s="13">
        <f>'TUSD BE'!$AC$39*'TUSD BF'!$AC$58</f>
        <v>0</v>
      </c>
      <c r="AD39" s="13">
        <f>SUM($AC$39:$AC$39)</f>
        <v>0</v>
      </c>
      <c r="AE39" s="13">
        <f ca="1">$AO$39*$AO$55</f>
        <v>0</v>
      </c>
      <c r="AF39" s="13">
        <f ca="1">$AP$39*$AP$55</f>
        <v>0</v>
      </c>
      <c r="AG39" s="13">
        <f ca="1">SUM($AE$39:$AF$39)</f>
        <v>0</v>
      </c>
      <c r="AH39" s="13">
        <f>'TUSD BE'!$AH$39*'TUSD BF'!$AH$58</f>
        <v>0</v>
      </c>
      <c r="AI39" s="13">
        <f>'TUSD BE'!$AI$39*'TUSD BF'!$AI$58</f>
        <v>0</v>
      </c>
      <c r="AJ39" s="13">
        <f ca="1">'TUSD BE'!$AJ$39*'TUSD BF'!$AJ$58</f>
        <v>0</v>
      </c>
      <c r="AK39" s="13">
        <f ca="1">'TUSD BE'!$AK$39*'TUSD BF'!$AK$58</f>
        <v>0</v>
      </c>
      <c r="AL39" s="13">
        <f ca="1">SUM($AH$39:$AK$39)</f>
        <v>0</v>
      </c>
      <c r="AM39" s="13">
        <f ca="1">SUMIF($L$4:$AL$4,"SUBTOTAL",$L$39:$AL$39)</f>
        <v>0</v>
      </c>
      <c r="AO39" s="20">
        <f ca="1">+'TUSD BE'!$T$39+'TUSD BE'!$AB$39+'TUSD BE'!$AD$39+'TUSD BE'!$AL$39</f>
        <v>642.18390772545763</v>
      </c>
      <c r="AP39" s="20">
        <f ca="1">+'TUSD BE'!$T$39+'TUSD BE'!$AB$39+'TUSD BE'!$AD$39+'TUSD BE'!$AL$39</f>
        <v>642.18390772545763</v>
      </c>
    </row>
    <row r="40" spans="1:42" ht="11.25" customHeight="1" x14ac:dyDescent="0.3">
      <c r="A40" s="91"/>
      <c r="B40" s="91"/>
      <c r="C40" s="91"/>
      <c r="D40" s="91"/>
      <c r="E40" s="91"/>
      <c r="F40" s="91"/>
      <c r="G40" s="18" t="s">
        <v>70</v>
      </c>
      <c r="H40" s="18" t="s">
        <v>68</v>
      </c>
      <c r="I40" s="18">
        <f>'MERCADO TUSD'!$U$37</f>
        <v>0</v>
      </c>
      <c r="J40" s="15"/>
      <c r="L40" s="13">
        <f>'TUSD BE'!$L$40*'TUSD BF'!$L$58</f>
        <v>0</v>
      </c>
      <c r="M40" s="13">
        <f>'TUSD BE'!$M$40*'TUSD BF'!$M$58</f>
        <v>0</v>
      </c>
      <c r="N40" s="13">
        <f ca="1">'TUSD BE'!$N$40*'TUSD BF'!$N$58</f>
        <v>0</v>
      </c>
      <c r="O40" s="13">
        <f>'TUSD BE'!$O$40*'TUSD BF'!$O$58</f>
        <v>0</v>
      </c>
      <c r="P40" s="13">
        <f>'TUSD BE'!$P$40*'TUSD BF'!$P$58</f>
        <v>0</v>
      </c>
      <c r="Q40" s="13">
        <f>'TUSD BE'!$Q$40*'TUSD BF'!$Q$58</f>
        <v>0</v>
      </c>
      <c r="R40" s="13">
        <f>'TUSD BE'!$R$40*'TUSD BF'!$R$58</f>
        <v>0</v>
      </c>
      <c r="S40" s="13">
        <f>'TUSD BE'!$R$40*'TUSD BF'!$S$58</f>
        <v>0</v>
      </c>
      <c r="T40" s="13">
        <f ca="1">SUM($L$40:$S$40)</f>
        <v>0</v>
      </c>
      <c r="U40" s="13">
        <f>'TUSD BE'!$U$40*'TUSD BF'!$U$58</f>
        <v>0</v>
      </c>
      <c r="V40" s="13">
        <f>'TUSD BE'!$V$40*'TUSD BF'!$V$58</f>
        <v>0</v>
      </c>
      <c r="W40" s="13">
        <f>'TUSD BE'!$W$40*'TUSD BF'!$W$58</f>
        <v>0</v>
      </c>
      <c r="X40" s="13">
        <f>'TUSD BE'!$X$40*'TUSD BF'!$X$58</f>
        <v>0</v>
      </c>
      <c r="Y40" s="13">
        <f>'TUSD BE'!$Y$40*'TUSD BF'!$Y$58</f>
        <v>0</v>
      </c>
      <c r="Z40" s="13">
        <f>'TUSD BE'!$Z$40*'TUSD BF'!$Z$58</f>
        <v>0</v>
      </c>
      <c r="AA40" s="13">
        <f>'TUSD BE'!$AA$40*'TUSD BF'!$AA$58</f>
        <v>0</v>
      </c>
      <c r="AB40" s="13">
        <f>SUM($U$40:$AA$40)</f>
        <v>0</v>
      </c>
      <c r="AC40" s="13">
        <f>'TUSD BE'!$AC$40*'TUSD BF'!$AC$58</f>
        <v>0</v>
      </c>
      <c r="AD40" s="13">
        <f>SUM($AC$40:$AC$40)</f>
        <v>0</v>
      </c>
      <c r="AE40" s="13">
        <f ca="1">$AO$40*$AO$55</f>
        <v>0</v>
      </c>
      <c r="AF40" s="13">
        <f ca="1">$AP$40*$AP$55</f>
        <v>0</v>
      </c>
      <c r="AG40" s="13">
        <f ca="1">SUM($AE$40:$AF$40)</f>
        <v>0</v>
      </c>
      <c r="AH40" s="13">
        <f>'TUSD BE'!$AH$40*'TUSD BF'!$AH$58</f>
        <v>0</v>
      </c>
      <c r="AI40" s="13">
        <f>'TUSD BE'!$AI$40*'TUSD BF'!$AI$58</f>
        <v>0</v>
      </c>
      <c r="AJ40" s="13">
        <f ca="1">'TUSD BE'!$AJ$40*'TUSD BF'!$AJ$58</f>
        <v>0</v>
      </c>
      <c r="AK40" s="13">
        <f ca="1">'TUSD BE'!$AK$40*'TUSD BF'!$AK$58</f>
        <v>0</v>
      </c>
      <c r="AL40" s="13">
        <f ca="1">SUM($AH$40:$AK$40)</f>
        <v>0</v>
      </c>
      <c r="AM40" s="13">
        <f ca="1">SUMIF($L$4:$AL$4,"SUBTOTAL",$L$40:$AL$40)</f>
        <v>0</v>
      </c>
      <c r="AO40" s="20">
        <f ca="1">+'TUSD BE'!$T$40+'TUSD BE'!$AB$40+'TUSD BE'!$AD$40+'TUSD BE'!$AL$40</f>
        <v>295.34831544465993</v>
      </c>
      <c r="AP40" s="20">
        <f ca="1">+'TUSD BE'!$T$40+'TUSD BE'!$AB$40+'TUSD BE'!$AD$40+'TUSD BE'!$AL$40</f>
        <v>295.34831544465993</v>
      </c>
    </row>
    <row r="41" spans="1:42" ht="11.25" customHeight="1" x14ac:dyDescent="0.3">
      <c r="A41" s="91"/>
      <c r="B41" s="17" t="s">
        <v>23</v>
      </c>
      <c r="C41" s="17" t="s">
        <v>40</v>
      </c>
      <c r="D41" s="17" t="s">
        <v>86</v>
      </c>
      <c r="E41" s="17" t="s">
        <v>25</v>
      </c>
      <c r="F41" s="17" t="s">
        <v>25</v>
      </c>
      <c r="G41" s="18" t="s">
        <v>74</v>
      </c>
      <c r="H41" s="18" t="s">
        <v>68</v>
      </c>
      <c r="I41" s="18">
        <f>'MERCADO TUSD'!$U$38</f>
        <v>0</v>
      </c>
      <c r="J41" s="15"/>
      <c r="L41" s="13">
        <f>'TUSD BE'!$L$41*'TUSD BF'!$L$58</f>
        <v>0</v>
      </c>
      <c r="M41" s="13">
        <f>'TUSD BE'!$M$41*'TUSD BF'!$M$58</f>
        <v>0</v>
      </c>
      <c r="N41" s="13">
        <f ca="1">'TUSD BE'!$N$41*'TUSD BF'!$N$58</f>
        <v>0</v>
      </c>
      <c r="O41" s="13">
        <f>'TUSD BE'!$O$41*'TUSD BF'!$O$58</f>
        <v>0</v>
      </c>
      <c r="P41" s="13">
        <f>'TUSD BE'!$P$41*'TUSD BF'!$P$58</f>
        <v>0</v>
      </c>
      <c r="Q41" s="13">
        <f>'TUSD BE'!$Q$41*'TUSD BF'!$Q$58</f>
        <v>0</v>
      </c>
      <c r="R41" s="13">
        <f>'TUSD BE'!$R$41*'TUSD BF'!$R$58</f>
        <v>0</v>
      </c>
      <c r="S41" s="13">
        <f>'TUSD BE'!$R$41*'TUSD BF'!$S$58</f>
        <v>0</v>
      </c>
      <c r="T41" s="13">
        <f ca="1">SUM($L$41:$S$41)</f>
        <v>0</v>
      </c>
      <c r="U41" s="13">
        <f>'TUSD BE'!$U$41*'TUSD BF'!$U$58</f>
        <v>0</v>
      </c>
      <c r="V41" s="13">
        <f>'TUSD BE'!$V$41*'TUSD BF'!$V$58</f>
        <v>0</v>
      </c>
      <c r="W41" s="13">
        <f>'TUSD BE'!$W$41*'TUSD BF'!$W$58</f>
        <v>0</v>
      </c>
      <c r="X41" s="13">
        <f>'TUSD BE'!$X$41*'TUSD BF'!$X$58</f>
        <v>0</v>
      </c>
      <c r="Y41" s="13">
        <f>'TUSD BE'!$Y$41*'TUSD BF'!$Y$58</f>
        <v>0</v>
      </c>
      <c r="Z41" s="13">
        <f>'TUSD BE'!$Z$41*'TUSD BF'!$Z$58</f>
        <v>0</v>
      </c>
      <c r="AA41" s="13">
        <f>'TUSD BE'!$AA$41*'TUSD BF'!$AA$58</f>
        <v>0</v>
      </c>
      <c r="AB41" s="13">
        <f>SUM($U$41:$AA$41)</f>
        <v>0</v>
      </c>
      <c r="AC41" s="13">
        <f>'TUSD BE'!$AC$41*'TUSD BF'!$AC$58</f>
        <v>0</v>
      </c>
      <c r="AD41" s="13">
        <f>SUM($AC$41:$AC$41)</f>
        <v>0</v>
      </c>
      <c r="AE41" s="13">
        <f ca="1">$AO$41*$AO$55</f>
        <v>0</v>
      </c>
      <c r="AF41" s="13">
        <f ca="1">$AP$41*$AP$55</f>
        <v>0</v>
      </c>
      <c r="AG41" s="13">
        <f ca="1">SUM($AE$41:$AF$41)</f>
        <v>0</v>
      </c>
      <c r="AH41" s="13">
        <f>'TUSD BE'!$AH$41*'TUSD BF'!$AH$58</f>
        <v>0</v>
      </c>
      <c r="AI41" s="13">
        <f>'TUSD BE'!$AI$41*'TUSD BF'!$AI$58</f>
        <v>0</v>
      </c>
      <c r="AJ41" s="13">
        <f ca="1">'TUSD BE'!$AJ$41*'TUSD BF'!$AJ$58</f>
        <v>0</v>
      </c>
      <c r="AK41" s="13">
        <f ca="1">'TUSD BE'!$AK$41*'TUSD BF'!$AK$58</f>
        <v>0</v>
      </c>
      <c r="AL41" s="13">
        <f ca="1">SUM($AH$41:$AK$41)</f>
        <v>0</v>
      </c>
      <c r="AM41" s="13">
        <f ca="1">SUMIF($L$4:$AL$4,"SUBTOTAL",$L$41:$AL$41)</f>
        <v>0</v>
      </c>
      <c r="AO41" s="20">
        <f ca="1">+'TUSD BE'!$T$41+'TUSD BE'!$AB$41+'TUSD BE'!$AD$41+'TUSD BE'!$AL$41</f>
        <v>415.88745245281598</v>
      </c>
      <c r="AP41" s="20">
        <f ca="1">+'TUSD BE'!$T$41+'TUSD BE'!$AB$41+'TUSD BE'!$AD$41+'TUSD BE'!$AL$41</f>
        <v>415.88745245281598</v>
      </c>
    </row>
    <row r="42" spans="1:42" ht="11.25" customHeight="1" x14ac:dyDescent="0.3">
      <c r="A42" s="91"/>
      <c r="B42" s="91" t="s">
        <v>84</v>
      </c>
      <c r="C42" s="91" t="s">
        <v>40</v>
      </c>
      <c r="D42" s="17" t="s">
        <v>25</v>
      </c>
      <c r="E42" s="17" t="s">
        <v>25</v>
      </c>
      <c r="F42" s="17" t="s">
        <v>25</v>
      </c>
      <c r="G42" s="18" t="s">
        <v>74</v>
      </c>
      <c r="H42" s="18" t="s">
        <v>68</v>
      </c>
      <c r="I42" s="18">
        <f>'MERCADO TUSD'!$U$39</f>
        <v>0</v>
      </c>
      <c r="J42" s="15"/>
      <c r="L42" s="13">
        <f>'TUSD BE'!$L$42*'TUSD BF'!$L$58</f>
        <v>0</v>
      </c>
      <c r="M42" s="13">
        <f>'TUSD BE'!$M$42*'TUSD BF'!$M$58</f>
        <v>0</v>
      </c>
      <c r="N42" s="13">
        <f ca="1">'TUSD BE'!$N$42*'TUSD BF'!$N$58</f>
        <v>0</v>
      </c>
      <c r="O42" s="13">
        <f>'TUSD BE'!$O$42*'TUSD BF'!$O$58</f>
        <v>0</v>
      </c>
      <c r="P42" s="13">
        <f>'TUSD BE'!$P$42*'TUSD BF'!$P$58</f>
        <v>0</v>
      </c>
      <c r="Q42" s="13">
        <f>'TUSD BE'!$Q$42*'TUSD BF'!$Q$58</f>
        <v>0</v>
      </c>
      <c r="R42" s="13">
        <f>'TUSD BE'!$R$42*'TUSD BF'!$R$58</f>
        <v>0</v>
      </c>
      <c r="S42" s="13">
        <f>'TUSD BE'!$R$42*'TUSD BF'!$S$58</f>
        <v>0</v>
      </c>
      <c r="T42" s="13">
        <f ca="1">SUM($L$42:$S$42)</f>
        <v>0</v>
      </c>
      <c r="U42" s="13">
        <f>'TUSD BE'!$U$42*'TUSD BF'!$U$58</f>
        <v>0</v>
      </c>
      <c r="V42" s="13">
        <f>'TUSD BE'!$V$42*'TUSD BF'!$V$58</f>
        <v>0</v>
      </c>
      <c r="W42" s="13">
        <f>'TUSD BE'!$W$42*'TUSD BF'!$W$58</f>
        <v>0</v>
      </c>
      <c r="X42" s="13">
        <f>'TUSD BE'!$X$42*'TUSD BF'!$X$58</f>
        <v>0</v>
      </c>
      <c r="Y42" s="13">
        <f>'TUSD BE'!$Y$42*'TUSD BF'!$Y$58</f>
        <v>0</v>
      </c>
      <c r="Z42" s="13">
        <f>'TUSD BE'!$Z$42*'TUSD BF'!$Z$58</f>
        <v>0</v>
      </c>
      <c r="AA42" s="13">
        <f>'TUSD BE'!$AA$42*'TUSD BF'!$AA$58</f>
        <v>0</v>
      </c>
      <c r="AB42" s="13">
        <f>SUM($U$42:$AA$42)</f>
        <v>0</v>
      </c>
      <c r="AC42" s="13">
        <f>'TUSD BE'!$AC$42*'TUSD BF'!$AC$58</f>
        <v>0</v>
      </c>
      <c r="AD42" s="13">
        <f>SUM($AC$42:$AC$42)</f>
        <v>0</v>
      </c>
      <c r="AE42" s="13">
        <f ca="1">$AO$42*$AO$55</f>
        <v>0</v>
      </c>
      <c r="AF42" s="13">
        <f ca="1">$AP$42*$AP$55</f>
        <v>0</v>
      </c>
      <c r="AG42" s="13">
        <f ca="1">SUM($AE$42:$AF$42)</f>
        <v>0</v>
      </c>
      <c r="AH42" s="13">
        <f>'TUSD BE'!$AH$42*'TUSD BF'!$AH$58</f>
        <v>0</v>
      </c>
      <c r="AI42" s="13">
        <f>'TUSD BE'!$AI$42*'TUSD BF'!$AI$58</f>
        <v>0</v>
      </c>
      <c r="AJ42" s="13">
        <f ca="1">'TUSD BE'!$AJ$42*'TUSD BF'!$AJ$58</f>
        <v>0</v>
      </c>
      <c r="AK42" s="13">
        <f ca="1">'TUSD BE'!$AK$42*'TUSD BF'!$AK$58</f>
        <v>0</v>
      </c>
      <c r="AL42" s="13">
        <f ca="1">SUM($AH$42:$AK$42)</f>
        <v>0</v>
      </c>
      <c r="AM42" s="13">
        <f ca="1">SUMIF($L$4:$AL$4,"SUBTOTAL",$L$42:$AL$42)</f>
        <v>0</v>
      </c>
      <c r="AO42" s="20">
        <f ca="1">+'TUSD BE'!$T$42+'TUSD BE'!$AB$42+'TUSD BE'!$AD$42+'TUSD BE'!$AL$42</f>
        <v>415.88745245281598</v>
      </c>
      <c r="AP42" s="20">
        <f ca="1">+'TUSD BE'!$T$42+'TUSD BE'!$AB$42+'TUSD BE'!$AD$42+'TUSD BE'!$AL$42</f>
        <v>415.88745245281598</v>
      </c>
    </row>
    <row r="43" spans="1:42" ht="11.25" customHeight="1" x14ac:dyDescent="0.3">
      <c r="A43" s="91"/>
      <c r="B43" s="91"/>
      <c r="C43" s="91"/>
      <c r="D43" s="17" t="s">
        <v>85</v>
      </c>
      <c r="E43" s="17" t="s">
        <v>25</v>
      </c>
      <c r="F43" s="17" t="s">
        <v>25</v>
      </c>
      <c r="G43" s="18" t="s">
        <v>74</v>
      </c>
      <c r="H43" s="18" t="s">
        <v>68</v>
      </c>
      <c r="I43" s="18">
        <f>'MERCADO TUSD'!$U$40</f>
        <v>0</v>
      </c>
      <c r="J43" s="15"/>
      <c r="L43" s="13">
        <f>'TUSD BE'!$L$43*'TUSD BF'!$L$58</f>
        <v>0</v>
      </c>
      <c r="M43" s="13">
        <f>'TUSD BE'!$M$43*'TUSD BF'!$M$58</f>
        <v>0</v>
      </c>
      <c r="N43" s="13">
        <f ca="1">'TUSD BE'!$N$43*'TUSD BF'!$N$58</f>
        <v>0</v>
      </c>
      <c r="O43" s="13">
        <f>'TUSD BE'!$O$43*'TUSD BF'!$O$58</f>
        <v>0</v>
      </c>
      <c r="P43" s="13">
        <f>'TUSD BE'!$P$43*'TUSD BF'!$P$58</f>
        <v>0</v>
      </c>
      <c r="Q43" s="13">
        <f>'TUSD BE'!$Q$43*'TUSD BF'!$Q$58</f>
        <v>0</v>
      </c>
      <c r="R43" s="13">
        <f>'TUSD BE'!$R$43*'TUSD BF'!$R$58</f>
        <v>0</v>
      </c>
      <c r="S43" s="13">
        <f>'TUSD BE'!$R$43*'TUSD BF'!$S$58</f>
        <v>0</v>
      </c>
      <c r="T43" s="13">
        <f ca="1">SUM($L$43:$S$43)</f>
        <v>0</v>
      </c>
      <c r="U43" s="13">
        <f>'TUSD BE'!$U$43*'TUSD BF'!$U$58</f>
        <v>0</v>
      </c>
      <c r="V43" s="13">
        <f>'TUSD BE'!$V$43*'TUSD BF'!$V$58</f>
        <v>0</v>
      </c>
      <c r="W43" s="13">
        <f>'TUSD BE'!$W$43*'TUSD BF'!$W$58</f>
        <v>0</v>
      </c>
      <c r="X43" s="13">
        <f>'TUSD BE'!$X$43*'TUSD BF'!$X$58</f>
        <v>0</v>
      </c>
      <c r="Y43" s="13">
        <f>'TUSD BE'!$Y$43*'TUSD BF'!$Y$58</f>
        <v>0</v>
      </c>
      <c r="Z43" s="13">
        <f>'TUSD BE'!$Z$43*'TUSD BF'!$Z$58</f>
        <v>0</v>
      </c>
      <c r="AA43" s="13">
        <f>'TUSD BE'!$AA$43*'TUSD BF'!$AA$58</f>
        <v>0</v>
      </c>
      <c r="AB43" s="13">
        <f>SUM($U$43:$AA$43)</f>
        <v>0</v>
      </c>
      <c r="AC43" s="13">
        <f>'TUSD BE'!$AC$43*'TUSD BF'!$AC$58</f>
        <v>0</v>
      </c>
      <c r="AD43" s="13">
        <f>SUM($AC$43:$AC$43)</f>
        <v>0</v>
      </c>
      <c r="AE43" s="13">
        <f ca="1">$AO$43*$AO$55</f>
        <v>0</v>
      </c>
      <c r="AF43" s="13">
        <f ca="1">$AP$43*$AP$55</f>
        <v>0</v>
      </c>
      <c r="AG43" s="13">
        <f ca="1">SUM($AE$43:$AF$43)</f>
        <v>0</v>
      </c>
      <c r="AH43" s="13">
        <f>'TUSD BE'!$AH$43*'TUSD BF'!$AH$58</f>
        <v>0</v>
      </c>
      <c r="AI43" s="13">
        <f>'TUSD BE'!$AI$43*'TUSD BF'!$AI$58</f>
        <v>0</v>
      </c>
      <c r="AJ43" s="13">
        <f ca="1">'TUSD BE'!$AJ$43*'TUSD BF'!$AJ$58</f>
        <v>0</v>
      </c>
      <c r="AK43" s="13">
        <f ca="1">'TUSD BE'!$AK$43*'TUSD BF'!$AK$58</f>
        <v>0</v>
      </c>
      <c r="AL43" s="13">
        <f ca="1">SUM($AH$43:$AK$43)</f>
        <v>0</v>
      </c>
      <c r="AM43" s="13">
        <f ca="1">SUMIF($L$4:$AL$4,"SUBTOTAL",$L$43:$AL$43)</f>
        <v>0</v>
      </c>
      <c r="AO43" s="20">
        <f ca="1">+'TUSD BE'!$T$43+'TUSD BE'!$AB$43+'TUSD BE'!$AD$43+'TUSD BE'!$AL$43</f>
        <v>415.88745245281598</v>
      </c>
      <c r="AP43" s="20">
        <f ca="1">+'TUSD BE'!$T$43+'TUSD BE'!$AB$43+'TUSD BE'!$AD$43+'TUSD BE'!$AL$43</f>
        <v>415.88745245281598</v>
      </c>
    </row>
    <row r="44" spans="1:42" ht="11.25" customHeight="1" x14ac:dyDescent="0.3">
      <c r="A44" s="91"/>
      <c r="B44" s="91"/>
      <c r="C44" s="91"/>
      <c r="D44" s="17" t="s">
        <v>86</v>
      </c>
      <c r="E44" s="17" t="s">
        <v>25</v>
      </c>
      <c r="F44" s="17" t="s">
        <v>25</v>
      </c>
      <c r="G44" s="18" t="s">
        <v>74</v>
      </c>
      <c r="H44" s="18" t="s">
        <v>68</v>
      </c>
      <c r="I44" s="18">
        <f>'MERCADO TUSD'!$U$41</f>
        <v>0</v>
      </c>
      <c r="J44" s="15"/>
      <c r="L44" s="13">
        <f>'TUSD BE'!$L$44*'TUSD BF'!$L$58</f>
        <v>0</v>
      </c>
      <c r="M44" s="13">
        <f>'TUSD BE'!$M$44*'TUSD BF'!$M$58</f>
        <v>0</v>
      </c>
      <c r="N44" s="13">
        <f ca="1">'TUSD BE'!$N$44*'TUSD BF'!$N$58</f>
        <v>0</v>
      </c>
      <c r="O44" s="13">
        <f>'TUSD BE'!$O$44*'TUSD BF'!$O$58</f>
        <v>0</v>
      </c>
      <c r="P44" s="13">
        <f>'TUSD BE'!$P$44*'TUSD BF'!$P$58</f>
        <v>0</v>
      </c>
      <c r="Q44" s="13">
        <f>'TUSD BE'!$Q$44*'TUSD BF'!$Q$58</f>
        <v>0</v>
      </c>
      <c r="R44" s="13">
        <f>'TUSD BE'!$R$44*'TUSD BF'!$R$58</f>
        <v>0</v>
      </c>
      <c r="S44" s="13">
        <f>'TUSD BE'!$R$44*'TUSD BF'!$S$58</f>
        <v>0</v>
      </c>
      <c r="T44" s="13">
        <f ca="1">SUM($L$44:$S$44)</f>
        <v>0</v>
      </c>
      <c r="U44" s="13">
        <f>'TUSD BE'!$U$44*'TUSD BF'!$U$58</f>
        <v>0</v>
      </c>
      <c r="V44" s="13">
        <f>'TUSD BE'!$V$44*'TUSD BF'!$V$58</f>
        <v>0</v>
      </c>
      <c r="W44" s="13">
        <f>'TUSD BE'!$W$44*'TUSD BF'!$W$58</f>
        <v>0</v>
      </c>
      <c r="X44" s="13">
        <f>'TUSD BE'!$X$44*'TUSD BF'!$X$58</f>
        <v>0</v>
      </c>
      <c r="Y44" s="13">
        <f>'TUSD BE'!$Y$44*'TUSD BF'!$Y$58</f>
        <v>0</v>
      </c>
      <c r="Z44" s="13">
        <f>'TUSD BE'!$Z$44*'TUSD BF'!$Z$58</f>
        <v>0</v>
      </c>
      <c r="AA44" s="13">
        <f>'TUSD BE'!$AA$44*'TUSD BF'!$AA$58</f>
        <v>0</v>
      </c>
      <c r="AB44" s="13">
        <f>SUM($U$44:$AA$44)</f>
        <v>0</v>
      </c>
      <c r="AC44" s="13">
        <f>'TUSD BE'!$AC$44*'TUSD BF'!$AC$58</f>
        <v>0</v>
      </c>
      <c r="AD44" s="13">
        <f>SUM($AC$44:$AC$44)</f>
        <v>0</v>
      </c>
      <c r="AE44" s="13">
        <f ca="1">$AO$44*$AO$55</f>
        <v>0</v>
      </c>
      <c r="AF44" s="13">
        <f ca="1">$AP$44*$AP$55</f>
        <v>0</v>
      </c>
      <c r="AG44" s="13">
        <f ca="1">SUM($AE$44:$AF$44)</f>
        <v>0</v>
      </c>
      <c r="AH44" s="13">
        <f>'TUSD BE'!$AH$44*'TUSD BF'!$AH$58</f>
        <v>0</v>
      </c>
      <c r="AI44" s="13">
        <f>'TUSD BE'!$AI$44*'TUSD BF'!$AI$58</f>
        <v>0</v>
      </c>
      <c r="AJ44" s="13">
        <f ca="1">'TUSD BE'!$AJ$44*'TUSD BF'!$AJ$58</f>
        <v>0</v>
      </c>
      <c r="AK44" s="13">
        <f ca="1">'TUSD BE'!$AK$44*'TUSD BF'!$AK$58</f>
        <v>0</v>
      </c>
      <c r="AL44" s="13">
        <f ca="1">SUM($AH$44:$AK$44)</f>
        <v>0</v>
      </c>
      <c r="AM44" s="13">
        <f ca="1">SUMIF($L$4:$AL$4,"SUBTOTAL",$L$44:$AL$44)</f>
        <v>0</v>
      </c>
      <c r="AO44" s="20">
        <f ca="1">+'TUSD BE'!$T$44+'TUSD BE'!$AB$44+'TUSD BE'!$AD$44+'TUSD BE'!$AL$44</f>
        <v>415.88745245281598</v>
      </c>
      <c r="AP44" s="20">
        <f ca="1">+'TUSD BE'!$T$44+'TUSD BE'!$AB$44+'TUSD BE'!$AD$44+'TUSD BE'!$AL$44</f>
        <v>415.88745245281598</v>
      </c>
    </row>
    <row r="45" spans="1:42" ht="11.25" customHeight="1" x14ac:dyDescent="0.3">
      <c r="A45" s="91" t="s">
        <v>31</v>
      </c>
      <c r="B45" s="91" t="s">
        <v>82</v>
      </c>
      <c r="C45" s="91" t="s">
        <v>25</v>
      </c>
      <c r="D45" s="91" t="s">
        <v>25</v>
      </c>
      <c r="E45" s="91" t="s">
        <v>25</v>
      </c>
      <c r="F45" s="91" t="s">
        <v>25</v>
      </c>
      <c r="G45" s="18" t="s">
        <v>69</v>
      </c>
      <c r="H45" s="18" t="s">
        <v>68</v>
      </c>
      <c r="I45" s="18">
        <f>'MERCADO TUSD'!$U$42</f>
        <v>0</v>
      </c>
      <c r="J45" s="15"/>
      <c r="L45" s="13">
        <f>'TUSD BE'!$L$45*'TUSD BF'!$L$58</f>
        <v>0</v>
      </c>
      <c r="M45" s="13">
        <f>'TUSD BE'!$M$45*'TUSD BF'!$M$58</f>
        <v>0</v>
      </c>
      <c r="N45" s="13">
        <f ca="1">'TUSD BE'!$N$45*'TUSD BF'!$N$58</f>
        <v>0</v>
      </c>
      <c r="O45" s="13">
        <f>'TUSD BE'!$O$45*'TUSD BF'!$O$58</f>
        <v>0</v>
      </c>
      <c r="P45" s="13">
        <f>'TUSD BE'!$P$45*'TUSD BF'!$P$58</f>
        <v>0</v>
      </c>
      <c r="Q45" s="13">
        <f>'TUSD BE'!$Q$45*'TUSD BF'!$Q$58</f>
        <v>0</v>
      </c>
      <c r="R45" s="13">
        <f>'TUSD BE'!$R$45*'TUSD BF'!$R$58</f>
        <v>0</v>
      </c>
      <c r="S45" s="13">
        <f>'TUSD BE'!$R$45*'TUSD BF'!$S$58</f>
        <v>0</v>
      </c>
      <c r="T45" s="13">
        <f ca="1">SUM($L$45:$S$45)</f>
        <v>0</v>
      </c>
      <c r="U45" s="13">
        <f>'TUSD BE'!$U$45*'TUSD BF'!$U$58</f>
        <v>0</v>
      </c>
      <c r="V45" s="13">
        <f>'TUSD BE'!$V$45*'TUSD BF'!$V$58</f>
        <v>0</v>
      </c>
      <c r="W45" s="13">
        <f>'TUSD BE'!$W$45*'TUSD BF'!$W$58</f>
        <v>0</v>
      </c>
      <c r="X45" s="13">
        <f>'TUSD BE'!$X$45*'TUSD BF'!$X$58</f>
        <v>0</v>
      </c>
      <c r="Y45" s="13">
        <f>'TUSD BE'!$Y$45*'TUSD BF'!$Y$58</f>
        <v>0</v>
      </c>
      <c r="Z45" s="13">
        <f>'TUSD BE'!$Z$45*'TUSD BF'!$Z$58</f>
        <v>0</v>
      </c>
      <c r="AA45" s="13">
        <f>'TUSD BE'!$AA$45*'TUSD BF'!$AA$58</f>
        <v>0</v>
      </c>
      <c r="AB45" s="13">
        <f>SUM($U$45:$AA$45)</f>
        <v>0</v>
      </c>
      <c r="AC45" s="13">
        <f>'TUSD BE'!$AC$45*'TUSD BF'!$AC$58</f>
        <v>0</v>
      </c>
      <c r="AD45" s="13">
        <f>SUM($AC$45:$AC$45)</f>
        <v>0</v>
      </c>
      <c r="AE45" s="13">
        <f ca="1">$AO$45*$AO$55</f>
        <v>0</v>
      </c>
      <c r="AF45" s="13">
        <f ca="1">$AP$45*$AP$55</f>
        <v>0</v>
      </c>
      <c r="AG45" s="13">
        <f ca="1">SUM($AE$45:$AF$45)</f>
        <v>0</v>
      </c>
      <c r="AH45" s="13">
        <f>'TUSD BE'!$AH$45*'TUSD BF'!$AH$58</f>
        <v>0</v>
      </c>
      <c r="AI45" s="13">
        <f>'TUSD BE'!$AI$45*'TUSD BF'!$AI$58</f>
        <v>0</v>
      </c>
      <c r="AJ45" s="13">
        <f ca="1">'TUSD BE'!$AJ$45*'TUSD BF'!$AJ$58</f>
        <v>0</v>
      </c>
      <c r="AK45" s="13">
        <f ca="1">'TUSD BE'!$AK$45*'TUSD BF'!$AK$58</f>
        <v>0</v>
      </c>
      <c r="AL45" s="13">
        <f ca="1">SUM($AH$45:$AK$45)</f>
        <v>0</v>
      </c>
      <c r="AM45" s="13">
        <f ca="1">SUMIF($L$4:$AL$4,"SUBTOTAL",$L$45:$AL$45)</f>
        <v>0</v>
      </c>
      <c r="AO45" s="20">
        <f ca="1">+'TUSD BE'!$T$45+'TUSD BE'!$AB$45+'TUSD BE'!$AD$45+'TUSD BE'!$AL$45</f>
        <v>1136.0472351967221</v>
      </c>
      <c r="AP45" s="20">
        <f ca="1">+'TUSD BE'!$T$45+'TUSD BE'!$AB$45+'TUSD BE'!$AD$45+'TUSD BE'!$AL$45</f>
        <v>1136.0472351967221</v>
      </c>
    </row>
    <row r="46" spans="1:42" ht="11.25" customHeight="1" x14ac:dyDescent="0.3">
      <c r="A46" s="91"/>
      <c r="B46" s="91"/>
      <c r="C46" s="91"/>
      <c r="D46" s="91"/>
      <c r="E46" s="91"/>
      <c r="F46" s="91"/>
      <c r="G46" s="18" t="s">
        <v>80</v>
      </c>
      <c r="H46" s="18" t="s">
        <v>68</v>
      </c>
      <c r="I46" s="18">
        <f>'MERCADO TUSD'!$U$43</f>
        <v>0</v>
      </c>
      <c r="J46" s="15"/>
      <c r="L46" s="13">
        <f>'TUSD BE'!$L$46*'TUSD BF'!$L$58</f>
        <v>0</v>
      </c>
      <c r="M46" s="13">
        <f>'TUSD BE'!$M$46*'TUSD BF'!$M$58</f>
        <v>0</v>
      </c>
      <c r="N46" s="13">
        <f ca="1">'TUSD BE'!$N$46*'TUSD BF'!$N$58</f>
        <v>0</v>
      </c>
      <c r="O46" s="13">
        <f>'TUSD BE'!$O$46*'TUSD BF'!$O$58</f>
        <v>0</v>
      </c>
      <c r="P46" s="13">
        <f>'TUSD BE'!$P$46*'TUSD BF'!$P$58</f>
        <v>0</v>
      </c>
      <c r="Q46" s="13">
        <f>'TUSD BE'!$Q$46*'TUSD BF'!$Q$58</f>
        <v>0</v>
      </c>
      <c r="R46" s="13">
        <f>'TUSD BE'!$R$46*'TUSD BF'!$R$58</f>
        <v>0</v>
      </c>
      <c r="S46" s="13">
        <f>'TUSD BE'!$R$46*'TUSD BF'!$S$58</f>
        <v>0</v>
      </c>
      <c r="T46" s="13">
        <f ca="1">SUM($L$46:$S$46)</f>
        <v>0</v>
      </c>
      <c r="U46" s="13">
        <f>'TUSD BE'!$U$46*'TUSD BF'!$U$58</f>
        <v>0</v>
      </c>
      <c r="V46" s="13">
        <f>'TUSD BE'!$V$46*'TUSD BF'!$V$58</f>
        <v>0</v>
      </c>
      <c r="W46" s="13">
        <f>'TUSD BE'!$W$46*'TUSD BF'!$W$58</f>
        <v>0</v>
      </c>
      <c r="X46" s="13">
        <f>'TUSD BE'!$X$46*'TUSD BF'!$X$58</f>
        <v>0</v>
      </c>
      <c r="Y46" s="13">
        <f>'TUSD BE'!$Y$46*'TUSD BF'!$Y$58</f>
        <v>0</v>
      </c>
      <c r="Z46" s="13">
        <f>'TUSD BE'!$Z$46*'TUSD BF'!$Z$58</f>
        <v>0</v>
      </c>
      <c r="AA46" s="13">
        <f>'TUSD BE'!$AA$46*'TUSD BF'!$AA$58</f>
        <v>0</v>
      </c>
      <c r="AB46" s="13">
        <f>SUM($U$46:$AA$46)</f>
        <v>0</v>
      </c>
      <c r="AC46" s="13">
        <f>'TUSD BE'!$AC$46*'TUSD BF'!$AC$58</f>
        <v>0</v>
      </c>
      <c r="AD46" s="13">
        <f>SUM($AC$46:$AC$46)</f>
        <v>0</v>
      </c>
      <c r="AE46" s="13">
        <f ca="1">$AO$46*$AO$55</f>
        <v>0</v>
      </c>
      <c r="AF46" s="13">
        <f ca="1">$AP$46*$AP$55</f>
        <v>0</v>
      </c>
      <c r="AG46" s="13">
        <f ca="1">SUM($AE$46:$AF$46)</f>
        <v>0</v>
      </c>
      <c r="AH46" s="13">
        <f>'TUSD BE'!$AH$46*'TUSD BF'!$AH$58</f>
        <v>0</v>
      </c>
      <c r="AI46" s="13">
        <f>'TUSD BE'!$AI$46*'TUSD BF'!$AI$58</f>
        <v>0</v>
      </c>
      <c r="AJ46" s="13">
        <f ca="1">'TUSD BE'!$AJ$46*'TUSD BF'!$AJ$58</f>
        <v>0</v>
      </c>
      <c r="AK46" s="13">
        <f ca="1">'TUSD BE'!$AK$46*'TUSD BF'!$AK$58</f>
        <v>0</v>
      </c>
      <c r="AL46" s="13">
        <f ca="1">SUM($AH$46:$AK$46)</f>
        <v>0</v>
      </c>
      <c r="AM46" s="13">
        <f ca="1">SUMIF($L$4:$AL$4,"SUBTOTAL",$L$46:$AL$46)</f>
        <v>0</v>
      </c>
      <c r="AO46" s="20">
        <f ca="1">+'TUSD BE'!$T$46+'TUSD BE'!$AB$46+'TUSD BE'!$AD$46+'TUSD BE'!$AL$46</f>
        <v>730.380812606669</v>
      </c>
      <c r="AP46" s="20">
        <f ca="1">+'TUSD BE'!$T$46+'TUSD BE'!$AB$46+'TUSD BE'!$AD$46+'TUSD BE'!$AL$46</f>
        <v>730.380812606669</v>
      </c>
    </row>
    <row r="47" spans="1:42" ht="11.25" customHeight="1" x14ac:dyDescent="0.3">
      <c r="A47" s="91"/>
      <c r="B47" s="91"/>
      <c r="C47" s="91"/>
      <c r="D47" s="91"/>
      <c r="E47" s="91"/>
      <c r="F47" s="91"/>
      <c r="G47" s="18" t="s">
        <v>70</v>
      </c>
      <c r="H47" s="18" t="s">
        <v>68</v>
      </c>
      <c r="I47" s="18">
        <f>'MERCADO TUSD'!$U$44</f>
        <v>0</v>
      </c>
      <c r="J47" s="15"/>
      <c r="L47" s="13">
        <f>'TUSD BE'!$L$47*'TUSD BF'!$L$58</f>
        <v>0</v>
      </c>
      <c r="M47" s="13">
        <f>'TUSD BE'!$M$47*'TUSD BF'!$M$58</f>
        <v>0</v>
      </c>
      <c r="N47" s="13">
        <f ca="1">'TUSD BE'!$N$47*'TUSD BF'!$N$58</f>
        <v>0</v>
      </c>
      <c r="O47" s="13">
        <f>'TUSD BE'!$O$47*'TUSD BF'!$O$58</f>
        <v>0</v>
      </c>
      <c r="P47" s="13">
        <f>'TUSD BE'!$P$47*'TUSD BF'!$P$58</f>
        <v>0</v>
      </c>
      <c r="Q47" s="13">
        <f>'TUSD BE'!$Q$47*'TUSD BF'!$Q$58</f>
        <v>0</v>
      </c>
      <c r="R47" s="13">
        <f>'TUSD BE'!$R$47*'TUSD BF'!$R$58</f>
        <v>0</v>
      </c>
      <c r="S47" s="13">
        <f>'TUSD BE'!$R$47*'TUSD BF'!$S$58</f>
        <v>0</v>
      </c>
      <c r="T47" s="13">
        <f ca="1">SUM($L$47:$S$47)</f>
        <v>0</v>
      </c>
      <c r="U47" s="13">
        <f>'TUSD BE'!$U$47*'TUSD BF'!$U$58</f>
        <v>0</v>
      </c>
      <c r="V47" s="13">
        <f>'TUSD BE'!$V$47*'TUSD BF'!$V$58</f>
        <v>0</v>
      </c>
      <c r="W47" s="13">
        <f>'TUSD BE'!$W$47*'TUSD BF'!$W$58</f>
        <v>0</v>
      </c>
      <c r="X47" s="13">
        <f>'TUSD BE'!$X$47*'TUSD BF'!$X$58</f>
        <v>0</v>
      </c>
      <c r="Y47" s="13">
        <f>'TUSD BE'!$Y$47*'TUSD BF'!$Y$58</f>
        <v>0</v>
      </c>
      <c r="Z47" s="13">
        <f>'TUSD BE'!$Z$47*'TUSD BF'!$Z$58</f>
        <v>0</v>
      </c>
      <c r="AA47" s="13">
        <f>'TUSD BE'!$AA$47*'TUSD BF'!$AA$58</f>
        <v>0</v>
      </c>
      <c r="AB47" s="13">
        <f>SUM($U$47:$AA$47)</f>
        <v>0</v>
      </c>
      <c r="AC47" s="13">
        <f>'TUSD BE'!$AC$47*'TUSD BF'!$AC$58</f>
        <v>0</v>
      </c>
      <c r="AD47" s="13">
        <f>SUM($AC$47:$AC$47)</f>
        <v>0</v>
      </c>
      <c r="AE47" s="13">
        <f ca="1">$AO$47*$AO$55</f>
        <v>0</v>
      </c>
      <c r="AF47" s="13">
        <f ca="1">$AP$47*$AP$55</f>
        <v>0</v>
      </c>
      <c r="AG47" s="13">
        <f ca="1">SUM($AE$47:$AF$47)</f>
        <v>0</v>
      </c>
      <c r="AH47" s="13">
        <f>'TUSD BE'!$AH$47*'TUSD BF'!$AH$58</f>
        <v>0</v>
      </c>
      <c r="AI47" s="13">
        <f>'TUSD BE'!$AI$47*'TUSD BF'!$AI$58</f>
        <v>0</v>
      </c>
      <c r="AJ47" s="13">
        <f ca="1">'TUSD BE'!$AJ$47*'TUSD BF'!$AJ$58</f>
        <v>0</v>
      </c>
      <c r="AK47" s="13">
        <f ca="1">'TUSD BE'!$AK$47*'TUSD BF'!$AK$58</f>
        <v>0</v>
      </c>
      <c r="AL47" s="13">
        <f ca="1">SUM($AH$47:$AK$47)</f>
        <v>0</v>
      </c>
      <c r="AM47" s="13">
        <f ca="1">SUMIF($L$4:$AL$4,"SUBTOTAL",$L$47:$AL$47)</f>
        <v>0</v>
      </c>
      <c r="AO47" s="20">
        <f ca="1">+'TUSD BE'!$T$47+'TUSD BE'!$AB$47+'TUSD BE'!$AD$47+'TUSD BE'!$AL$47</f>
        <v>324.76372734650886</v>
      </c>
      <c r="AP47" s="20">
        <f ca="1">+'TUSD BE'!$T$47+'TUSD BE'!$AB$47+'TUSD BE'!$AD$47+'TUSD BE'!$AL$47</f>
        <v>324.76372734650886</v>
      </c>
    </row>
    <row r="48" spans="1:42" ht="11.25" customHeight="1" x14ac:dyDescent="0.3">
      <c r="A48" s="91"/>
      <c r="B48" s="17" t="s">
        <v>23</v>
      </c>
      <c r="C48" s="17" t="s">
        <v>25</v>
      </c>
      <c r="D48" s="17" t="s">
        <v>25</v>
      </c>
      <c r="E48" s="17" t="s">
        <v>25</v>
      </c>
      <c r="F48" s="17" t="s">
        <v>25</v>
      </c>
      <c r="G48" s="18" t="s">
        <v>74</v>
      </c>
      <c r="H48" s="18" t="s">
        <v>68</v>
      </c>
      <c r="I48" s="18">
        <f>'MERCADO TUSD'!$U$45</f>
        <v>321.71000000000004</v>
      </c>
      <c r="J48" s="15"/>
      <c r="L48" s="13">
        <f>'TUSD BE'!$L$48*'TUSD BF'!$L$58</f>
        <v>0</v>
      </c>
      <c r="M48" s="13">
        <f>'TUSD BE'!$M$48*'TUSD BF'!$M$58</f>
        <v>0</v>
      </c>
      <c r="N48" s="13">
        <f ca="1">'TUSD BE'!$N$48*'TUSD BF'!$N$58</f>
        <v>0</v>
      </c>
      <c r="O48" s="13">
        <f>'TUSD BE'!$O$48*'TUSD BF'!$O$58</f>
        <v>0</v>
      </c>
      <c r="P48" s="13">
        <f>'TUSD BE'!$P$48*'TUSD BF'!$P$58</f>
        <v>0</v>
      </c>
      <c r="Q48" s="13">
        <f>'TUSD BE'!$Q$48*'TUSD BF'!$Q$58</f>
        <v>0</v>
      </c>
      <c r="R48" s="13">
        <f>'TUSD BE'!$R$48*'TUSD BF'!$R$58</f>
        <v>0</v>
      </c>
      <c r="S48" s="13">
        <f>'TUSD BE'!$R$48*'TUSD BF'!$S$58</f>
        <v>0</v>
      </c>
      <c r="T48" s="13">
        <f ca="1">SUM($L$48:$S$48)</f>
        <v>0</v>
      </c>
      <c r="U48" s="13">
        <f>'TUSD BE'!$U$48*'TUSD BF'!$U$58</f>
        <v>0</v>
      </c>
      <c r="V48" s="13">
        <f>'TUSD BE'!$V$48*'TUSD BF'!$V$58</f>
        <v>0</v>
      </c>
      <c r="W48" s="13">
        <f>'TUSD BE'!$W$48*'TUSD BF'!$W$58</f>
        <v>0</v>
      </c>
      <c r="X48" s="13">
        <f>'TUSD BE'!$X$48*'TUSD BF'!$X$58</f>
        <v>0</v>
      </c>
      <c r="Y48" s="13">
        <f>'TUSD BE'!$Y$48*'TUSD BF'!$Y$58</f>
        <v>0</v>
      </c>
      <c r="Z48" s="13">
        <f>'TUSD BE'!$Z$48*'TUSD BF'!$Z$58</f>
        <v>0</v>
      </c>
      <c r="AA48" s="13">
        <f>'TUSD BE'!$AA$48*'TUSD BF'!$AA$58</f>
        <v>0</v>
      </c>
      <c r="AB48" s="13">
        <f>SUM($U$48:$AA$48)</f>
        <v>0</v>
      </c>
      <c r="AC48" s="13">
        <f>'TUSD BE'!$AC$48*'TUSD BF'!$AC$58</f>
        <v>0</v>
      </c>
      <c r="AD48" s="13">
        <f>SUM($AC$48:$AC$48)</f>
        <v>0</v>
      </c>
      <c r="AE48" s="13">
        <f ca="1">$AO$48*$AO$55</f>
        <v>0</v>
      </c>
      <c r="AF48" s="13">
        <f ca="1">$AP$48*$AP$55</f>
        <v>0</v>
      </c>
      <c r="AG48" s="13">
        <f ca="1">SUM($AE$48:$AF$48)</f>
        <v>0</v>
      </c>
      <c r="AH48" s="13">
        <f>'TUSD BE'!$AH$48*'TUSD BF'!$AH$58</f>
        <v>0</v>
      </c>
      <c r="AI48" s="13">
        <f>'TUSD BE'!$AI$48*'TUSD BF'!$AI$58</f>
        <v>0</v>
      </c>
      <c r="AJ48" s="13">
        <f ca="1">'TUSD BE'!$AJ$48*'TUSD BF'!$AJ$58</f>
        <v>0</v>
      </c>
      <c r="AK48" s="13">
        <f ca="1">'TUSD BE'!$AK$48*'TUSD BF'!$AK$58</f>
        <v>0</v>
      </c>
      <c r="AL48" s="13">
        <f ca="1">SUM($AH$48:$AK$48)</f>
        <v>0</v>
      </c>
      <c r="AM48" s="13">
        <f ca="1">SUMIF($L$4:$AL$4,"SUBTOTAL",$L$48:$AL$48)</f>
        <v>0</v>
      </c>
      <c r="AO48" s="20">
        <f ca="1">+'TUSD BE'!$T$48+'TUSD BE'!$AB$48+'TUSD BE'!$AD$48+'TUSD BE'!$AL$48</f>
        <v>415.88745245281598</v>
      </c>
      <c r="AP48" s="20">
        <f ca="1">+'TUSD BE'!$T$48+'TUSD BE'!$AB$48+'TUSD BE'!$AD$48+'TUSD BE'!$AL$48</f>
        <v>415.88745245281598</v>
      </c>
    </row>
    <row r="49" spans="1:42" ht="11.25" customHeight="1" x14ac:dyDescent="0.3">
      <c r="A49" s="91"/>
      <c r="B49" s="17" t="s">
        <v>84</v>
      </c>
      <c r="C49" s="17" t="s">
        <v>25</v>
      </c>
      <c r="D49" s="17" t="s">
        <v>25</v>
      </c>
      <c r="E49" s="17" t="s">
        <v>25</v>
      </c>
      <c r="F49" s="17" t="s">
        <v>25</v>
      </c>
      <c r="G49" s="18" t="s">
        <v>74</v>
      </c>
      <c r="H49" s="18" t="s">
        <v>68</v>
      </c>
      <c r="I49" s="18">
        <f>'MERCADO TUSD'!$U$46</f>
        <v>0</v>
      </c>
      <c r="J49" s="15"/>
      <c r="L49" s="13">
        <f>'TUSD BE'!$L$49*'TUSD BF'!$L$58</f>
        <v>0</v>
      </c>
      <c r="M49" s="13">
        <f>'TUSD BE'!$M$49*'TUSD BF'!$M$58</f>
        <v>0</v>
      </c>
      <c r="N49" s="13">
        <f ca="1">'TUSD BE'!$N$49*'TUSD BF'!$N$58</f>
        <v>0</v>
      </c>
      <c r="O49" s="13">
        <f>'TUSD BE'!$O$49*'TUSD BF'!$O$58</f>
        <v>0</v>
      </c>
      <c r="P49" s="13">
        <f>'TUSD BE'!$P$49*'TUSD BF'!$P$58</f>
        <v>0</v>
      </c>
      <c r="Q49" s="13">
        <f>'TUSD BE'!$Q$49*'TUSD BF'!$Q$58</f>
        <v>0</v>
      </c>
      <c r="R49" s="13">
        <f>'TUSD BE'!$R$49*'TUSD BF'!$R$58</f>
        <v>0</v>
      </c>
      <c r="S49" s="13">
        <f>'TUSD BE'!$R$49*'TUSD BF'!$S$58</f>
        <v>0</v>
      </c>
      <c r="T49" s="13">
        <f ca="1">SUM($L$49:$S$49)</f>
        <v>0</v>
      </c>
      <c r="U49" s="13">
        <f>'TUSD BE'!$U$49*'TUSD BF'!$U$58</f>
        <v>0</v>
      </c>
      <c r="V49" s="13">
        <f>'TUSD BE'!$V$49*'TUSD BF'!$V$58</f>
        <v>0</v>
      </c>
      <c r="W49" s="13">
        <f>'TUSD BE'!$W$49*'TUSD BF'!$W$58</f>
        <v>0</v>
      </c>
      <c r="X49" s="13">
        <f>'TUSD BE'!$X$49*'TUSD BF'!$X$58</f>
        <v>0</v>
      </c>
      <c r="Y49" s="13">
        <f>'TUSD BE'!$Y$49*'TUSD BF'!$Y$58</f>
        <v>0</v>
      </c>
      <c r="Z49" s="13">
        <f>'TUSD BE'!$Z$49*'TUSD BF'!$Z$58</f>
        <v>0</v>
      </c>
      <c r="AA49" s="13">
        <f>'TUSD BE'!$AA$49*'TUSD BF'!$AA$58</f>
        <v>0</v>
      </c>
      <c r="AB49" s="13">
        <f>SUM($U$49:$AA$49)</f>
        <v>0</v>
      </c>
      <c r="AC49" s="13">
        <f>'TUSD BE'!$AC$49*'TUSD BF'!$AC$58</f>
        <v>0</v>
      </c>
      <c r="AD49" s="13">
        <f>SUM($AC$49:$AC$49)</f>
        <v>0</v>
      </c>
      <c r="AE49" s="13">
        <f ca="1">$AO$49*$AO$55</f>
        <v>0</v>
      </c>
      <c r="AF49" s="13">
        <f ca="1">$AP$49*$AP$55</f>
        <v>0</v>
      </c>
      <c r="AG49" s="13">
        <f ca="1">SUM($AE$49:$AF$49)</f>
        <v>0</v>
      </c>
      <c r="AH49" s="13">
        <f>'TUSD BE'!$AH$49*'TUSD BF'!$AH$58</f>
        <v>0</v>
      </c>
      <c r="AI49" s="13">
        <f>'TUSD BE'!$AI$49*'TUSD BF'!$AI$58</f>
        <v>0</v>
      </c>
      <c r="AJ49" s="13">
        <f ca="1">'TUSD BE'!$AJ$49*'TUSD BF'!$AJ$58</f>
        <v>0</v>
      </c>
      <c r="AK49" s="13">
        <f ca="1">'TUSD BE'!$AK$49*'TUSD BF'!$AK$58</f>
        <v>0</v>
      </c>
      <c r="AL49" s="13">
        <f ca="1">SUM($AH$49:$AK$49)</f>
        <v>0</v>
      </c>
      <c r="AM49" s="13">
        <f ca="1">SUMIF($L$4:$AL$4,"SUBTOTAL",$L$49:$AL$49)</f>
        <v>0</v>
      </c>
      <c r="AO49" s="20">
        <f ca="1">+'TUSD BE'!$T$49+'TUSD BE'!$AB$49+'TUSD BE'!$AD$49+'TUSD BE'!$AL$49</f>
        <v>415.88745245281598</v>
      </c>
      <c r="AP49" s="20">
        <f ca="1">+'TUSD BE'!$T$49+'TUSD BE'!$AB$49+'TUSD BE'!$AD$49+'TUSD BE'!$AL$49</f>
        <v>415.88745245281598</v>
      </c>
    </row>
    <row r="50" spans="1:42" ht="11.25" customHeight="1" x14ac:dyDescent="0.3">
      <c r="A50" s="91" t="s">
        <v>43</v>
      </c>
      <c r="B50" s="91" t="s">
        <v>23</v>
      </c>
      <c r="C50" s="91" t="s">
        <v>44</v>
      </c>
      <c r="D50" s="17" t="s">
        <v>45</v>
      </c>
      <c r="E50" s="17" t="s">
        <v>25</v>
      </c>
      <c r="F50" s="17" t="s">
        <v>25</v>
      </c>
      <c r="G50" s="18" t="s">
        <v>74</v>
      </c>
      <c r="H50" s="18" t="s">
        <v>68</v>
      </c>
      <c r="I50" s="18">
        <f>'MERCADO TUSD'!$U$47</f>
        <v>249.66400000000002</v>
      </c>
      <c r="J50" s="15"/>
      <c r="L50" s="13">
        <f>'TUSD BE'!$L$50*'TUSD BF'!$L$58</f>
        <v>0</v>
      </c>
      <c r="M50" s="13">
        <f>'TUSD BE'!$M$50*'TUSD BF'!$M$58</f>
        <v>0</v>
      </c>
      <c r="N50" s="13">
        <f ca="1">'TUSD BE'!$N$50*'TUSD BF'!$N$58</f>
        <v>0</v>
      </c>
      <c r="O50" s="13">
        <f>'TUSD BE'!$O$50*'TUSD BF'!$O$58</f>
        <v>0</v>
      </c>
      <c r="P50" s="13">
        <f>'TUSD BE'!$P$50*'TUSD BF'!$P$58</f>
        <v>0</v>
      </c>
      <c r="Q50" s="13">
        <f>'TUSD BE'!$Q$50*'TUSD BF'!$Q$58</f>
        <v>0</v>
      </c>
      <c r="R50" s="13">
        <f>'TUSD BE'!$R$50*'TUSD BF'!$R$58</f>
        <v>0</v>
      </c>
      <c r="S50" s="13">
        <f>'TUSD BE'!$R$50*'TUSD BF'!$S$58</f>
        <v>0</v>
      </c>
      <c r="T50" s="13">
        <f ca="1">SUM($L$50:$S$50)</f>
        <v>0</v>
      </c>
      <c r="U50" s="13">
        <f>'TUSD BE'!$U$50*'TUSD BF'!$U$58</f>
        <v>0</v>
      </c>
      <c r="V50" s="13">
        <f>'TUSD BE'!$V$50*'TUSD BF'!$V$58</f>
        <v>0</v>
      </c>
      <c r="W50" s="13">
        <f>'TUSD BE'!$W$50*'TUSD BF'!$W$58</f>
        <v>0</v>
      </c>
      <c r="X50" s="13">
        <f>'TUSD BE'!$X$50*'TUSD BF'!$X$58</f>
        <v>0</v>
      </c>
      <c r="Y50" s="13">
        <f>'TUSD BE'!$Y$50*'TUSD BF'!$Y$58</f>
        <v>0</v>
      </c>
      <c r="Z50" s="13">
        <f>'TUSD BE'!$Z$50*'TUSD BF'!$Z$58</f>
        <v>0</v>
      </c>
      <c r="AA50" s="13">
        <f>'TUSD BE'!$AA$50*'TUSD BF'!$AA$58</f>
        <v>0</v>
      </c>
      <c r="AB50" s="13">
        <f>SUM($U$50:$AA$50)</f>
        <v>0</v>
      </c>
      <c r="AC50" s="13">
        <f>'TUSD BE'!$AC$50*'TUSD BF'!$AC$58</f>
        <v>0</v>
      </c>
      <c r="AD50" s="13">
        <f>SUM($AC$50:$AC$50)</f>
        <v>0</v>
      </c>
      <c r="AE50" s="13">
        <f ca="1">$AO$50*$AO$55</f>
        <v>0</v>
      </c>
      <c r="AF50" s="13">
        <f ca="1">$AP$50*$AP$55</f>
        <v>0</v>
      </c>
      <c r="AG50" s="13">
        <f ca="1">SUM($AE$50:$AF$50)</f>
        <v>0</v>
      </c>
      <c r="AH50" s="13">
        <f>'TUSD BE'!$AH$50*'TUSD BF'!$AH$58</f>
        <v>0</v>
      </c>
      <c r="AI50" s="13">
        <f>'TUSD BE'!$AI$50*'TUSD BF'!$AI$58</f>
        <v>0</v>
      </c>
      <c r="AJ50" s="13">
        <f ca="1">'TUSD BE'!$AJ$50*'TUSD BF'!$AJ$58</f>
        <v>0</v>
      </c>
      <c r="AK50" s="13">
        <f ca="1">'TUSD BE'!$AK$50*'TUSD BF'!$AK$58</f>
        <v>0</v>
      </c>
      <c r="AL50" s="13">
        <f ca="1">SUM($AH$50:$AK$50)</f>
        <v>0</v>
      </c>
      <c r="AM50" s="13">
        <f ca="1">SUMIF($L$4:$AL$4,"SUBTOTAL",$L$50:$AL$50)</f>
        <v>0</v>
      </c>
      <c r="AO50" s="20">
        <f ca="1">+'TUSD BE'!$T$50+'TUSD BE'!$AB$50+'TUSD BE'!$AD$50+'TUSD BE'!$AL$50</f>
        <v>228.73809884904878</v>
      </c>
      <c r="AP50" s="20">
        <f ca="1">+'TUSD BE'!$T$50+'TUSD BE'!$AB$50+'TUSD BE'!$AD$50+'TUSD BE'!$AL$50</f>
        <v>228.73809884904878</v>
      </c>
    </row>
    <row r="51" spans="1:42" ht="11.25" customHeight="1" x14ac:dyDescent="0.3">
      <c r="A51" s="91"/>
      <c r="B51" s="91"/>
      <c r="C51" s="91"/>
      <c r="D51" s="18" t="s">
        <v>87</v>
      </c>
      <c r="E51" s="18" t="s">
        <v>25</v>
      </c>
      <c r="F51" s="18" t="s">
        <v>25</v>
      </c>
      <c r="G51" s="18" t="s">
        <v>74</v>
      </c>
      <c r="H51" s="18" t="s">
        <v>68</v>
      </c>
      <c r="I51" s="18">
        <f>'MERCADO TUSD'!$U$48</f>
        <v>0</v>
      </c>
      <c r="J51" s="15"/>
      <c r="L51" s="13">
        <f>'TUSD BE'!$L$51*'TUSD BF'!$L$58</f>
        <v>0</v>
      </c>
      <c r="M51" s="13">
        <f>'TUSD BE'!$M$51*'TUSD BF'!$M$58</f>
        <v>0</v>
      </c>
      <c r="N51" s="13">
        <f ca="1">'TUSD BE'!$N$51*'TUSD BF'!$N$58</f>
        <v>0</v>
      </c>
      <c r="O51" s="13">
        <f>'TUSD BE'!$O$51*'TUSD BF'!$O$58</f>
        <v>0</v>
      </c>
      <c r="P51" s="13">
        <f>'TUSD BE'!$P$51*'TUSD BF'!$P$58</f>
        <v>0</v>
      </c>
      <c r="Q51" s="13">
        <f>'TUSD BE'!$Q$51*'TUSD BF'!$Q$58</f>
        <v>0</v>
      </c>
      <c r="R51" s="13">
        <f>'TUSD BE'!$R$51*'TUSD BF'!$R$58</f>
        <v>0</v>
      </c>
      <c r="S51" s="13">
        <f>'TUSD BE'!$R$51*'TUSD BF'!$S$58</f>
        <v>0</v>
      </c>
      <c r="T51" s="13">
        <f ca="1">SUM($L$51:$S$51)</f>
        <v>0</v>
      </c>
      <c r="U51" s="13">
        <f>'TUSD BE'!$U$51*'TUSD BF'!$U$58</f>
        <v>0</v>
      </c>
      <c r="V51" s="13">
        <f>'TUSD BE'!$V$51*'TUSD BF'!$V$58</f>
        <v>0</v>
      </c>
      <c r="W51" s="13">
        <f>'TUSD BE'!$W$51*'TUSD BF'!$W$58</f>
        <v>0</v>
      </c>
      <c r="X51" s="13">
        <f>'TUSD BE'!$X$51*'TUSD BF'!$X$58</f>
        <v>0</v>
      </c>
      <c r="Y51" s="13">
        <f>'TUSD BE'!$Y$51*'TUSD BF'!$Y$58</f>
        <v>0</v>
      </c>
      <c r="Z51" s="13">
        <f>'TUSD BE'!$Z$51*'TUSD BF'!$Z$58</f>
        <v>0</v>
      </c>
      <c r="AA51" s="13">
        <f>'TUSD BE'!$AA$51*'TUSD BF'!$AA$58</f>
        <v>0</v>
      </c>
      <c r="AB51" s="13">
        <f>SUM($U$51:$AA$51)</f>
        <v>0</v>
      </c>
      <c r="AC51" s="13">
        <f>'TUSD BE'!$AC$51*'TUSD BF'!$AC$58</f>
        <v>0</v>
      </c>
      <c r="AD51" s="13">
        <f>SUM($AC$51:$AC$51)</f>
        <v>0</v>
      </c>
      <c r="AE51" s="13">
        <f ca="1">$AO$51*$AO$55</f>
        <v>0</v>
      </c>
      <c r="AF51" s="13">
        <f ca="1">$AP$51*$AP$55</f>
        <v>0</v>
      </c>
      <c r="AG51" s="13">
        <f ca="1">SUM($AE$51:$AF$51)</f>
        <v>0</v>
      </c>
      <c r="AH51" s="13">
        <f>'TUSD BE'!$AH$51*'TUSD BF'!$AH$58</f>
        <v>0</v>
      </c>
      <c r="AI51" s="13">
        <f>'TUSD BE'!$AI$51*'TUSD BF'!$AI$58</f>
        <v>0</v>
      </c>
      <c r="AJ51" s="13">
        <f ca="1">'TUSD BE'!$AJ$51*'TUSD BF'!$AJ$58</f>
        <v>0</v>
      </c>
      <c r="AK51" s="13">
        <f ca="1">'TUSD BE'!$AK$51*'TUSD BF'!$AK$58</f>
        <v>0</v>
      </c>
      <c r="AL51" s="13">
        <f ca="1">SUM($AH$51:$AK$51)</f>
        <v>0</v>
      </c>
      <c r="AM51" s="13">
        <f ca="1">SUMIF($L$4:$AL$4,"SUBTOTAL",$L$51:$AL$51)</f>
        <v>0</v>
      </c>
      <c r="AO51" s="20">
        <f ca="1">+'TUSD BE'!$T$51+'TUSD BE'!$AB$51+'TUSD BE'!$AD$51+'TUSD BE'!$AL$51</f>
        <v>249.53247147168955</v>
      </c>
      <c r="AP51" s="20">
        <f ca="1">+'TUSD BE'!$T$51+'TUSD BE'!$AB$51+'TUSD BE'!$AD$51+'TUSD BE'!$AL$51</f>
        <v>249.53247147168955</v>
      </c>
    </row>
    <row r="53" spans="1:42" ht="11.25" customHeight="1" x14ac:dyDescent="0.3">
      <c r="K53" s="16" t="s">
        <v>477</v>
      </c>
      <c r="L53" s="13">
        <f>SUMPRODUCT($I$5:$I51,$L$5:$L51)</f>
        <v>0</v>
      </c>
      <c r="M53" s="13">
        <f>SUMPRODUCT($I$5:$I51,$M$5:$M51)</f>
        <v>0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0</v>
      </c>
      <c r="R53" s="13">
        <f>SUMPRODUCT($I$5:$I51,$R$5:$R51)</f>
        <v>0</v>
      </c>
      <c r="S53" s="13">
        <f>SUMPRODUCT($I$5:$I51,$S$5:$S51)</f>
        <v>0</v>
      </c>
      <c r="T53" s="13">
        <f ca="1">SUMPRODUCT($I$5:$I51,$T$5:$T51)</f>
        <v>0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0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0</v>
      </c>
      <c r="AC53" s="13">
        <f>SUMPRODUCT($I$5:$I51,$AC$5:$AC51)</f>
        <v>0</v>
      </c>
      <c r="AD53" s="13">
        <f>SUMPRODUCT($I$5:$I51,$AD$5:$AD51)</f>
        <v>0</v>
      </c>
      <c r="AE53" s="13">
        <f ca="1">SUMPRODUCT($I$5:$I51,$AE$5:$AE51)</f>
        <v>0</v>
      </c>
      <c r="AF53" s="13">
        <f ca="1">SUMPRODUCT($I$5:$I51,$AF$5:$AF51)</f>
        <v>0</v>
      </c>
      <c r="AG53" s="13">
        <f ca="1">SUMPRODUCT($I$5:$I51,$AG$5:$AG51)</f>
        <v>0</v>
      </c>
      <c r="AH53" s="13">
        <f>SUMPRODUCT($I$5:$I51,$AH$5:$AH51)</f>
        <v>0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0</v>
      </c>
      <c r="AM53" s="13">
        <f ca="1">SUMPRODUCT($I$5:$I51,$AM$5:$AM51)</f>
        <v>0</v>
      </c>
      <c r="AO53" s="18">
        <f ca="1">SUMPRODUCT($I$5:$I51,$AO$5:$AO51)</f>
        <v>6672113.0980033549</v>
      </c>
      <c r="AP53" s="18">
        <f ca="1">SUMPRODUCT($I$5:$I51,$AP$5:$AP51)</f>
        <v>6672113.0980033549</v>
      </c>
    </row>
    <row r="54" spans="1:42" ht="11.25" customHeight="1" x14ac:dyDescent="0.3">
      <c r="K54" s="16" t="s">
        <v>409</v>
      </c>
      <c r="L54" s="13">
        <f>'TR TUSD'!$L$56</f>
        <v>0</v>
      </c>
      <c r="M54" s="13">
        <f>'TR TUSD'!$M$56</f>
        <v>12857.088096908077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1447102.0752100002</v>
      </c>
      <c r="R54" s="13">
        <f>'TR TUSD'!$R$56</f>
        <v>254288.34072000007</v>
      </c>
      <c r="S54" s="13">
        <f>'TR TUSD'!$S$56</f>
        <v>0</v>
      </c>
      <c r="T54" s="13">
        <f>'TR TUSD'!$T$56</f>
        <v>1714247.5040269082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1881904.5259199997</v>
      </c>
      <c r="Z54" s="13">
        <f>'TR TUSD'!$Z$56</f>
        <v>0</v>
      </c>
      <c r="AA54" s="13">
        <f>'TR TUSD'!$AA$56</f>
        <v>0</v>
      </c>
      <c r="AB54" s="13">
        <f>'TR TUSD'!$AB$56</f>
        <v>1881904.5259199997</v>
      </c>
      <c r="AC54" s="13">
        <f>'TR TUSD'!$AC$56</f>
        <v>2890068.7</v>
      </c>
      <c r="AD54" s="13">
        <f>'TR TUSD'!$AD$56</f>
        <v>2890068.7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185892.36805644623</v>
      </c>
      <c r="AI54" s="13">
        <f>'TR TUSD'!$AI$56</f>
        <v>0</v>
      </c>
      <c r="AJ54" s="13">
        <f>'TR TUSD'!$AJ$56</f>
        <v>0</v>
      </c>
      <c r="AK54" s="13">
        <f>'TR TUSD'!$AK$56</f>
        <v>0</v>
      </c>
      <c r="AL54" s="13">
        <f>'TR TUSD'!$AL$56</f>
        <v>185892.36805644623</v>
      </c>
      <c r="AM54" s="13">
        <f>CUSTOS!$D$29</f>
        <v>6672113.0980033539</v>
      </c>
      <c r="AO54" s="18">
        <f>$AE$56</f>
        <v>0</v>
      </c>
      <c r="AP54" s="18">
        <f>$AF$56</f>
        <v>0</v>
      </c>
    </row>
    <row r="55" spans="1:42" ht="11.25" customHeight="1" x14ac:dyDescent="0.3">
      <c r="K55" s="16" t="s">
        <v>410</v>
      </c>
      <c r="L55" s="13">
        <f>CUSTOS!$E$2</f>
        <v>0</v>
      </c>
      <c r="M55" s="13">
        <f>CUSTOS!$E$3</f>
        <v>-1049.8958455291686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-95422.930034866673</v>
      </c>
      <c r="R55" s="13">
        <f>CUSTOS!$E$8</f>
        <v>-17322.630753886519</v>
      </c>
      <c r="S55" s="13">
        <f>CUSTOS!$E$9</f>
        <v>0</v>
      </c>
      <c r="T55" s="13">
        <f>CUSTOS!$E$10</f>
        <v>-113795.45663428237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31119.052103736372</v>
      </c>
      <c r="Z55" s="13">
        <f>CUSTOS!$E$16</f>
        <v>0</v>
      </c>
      <c r="AA55" s="13">
        <f>CUSTOS!$E$17</f>
        <v>0</v>
      </c>
      <c r="AB55" s="13">
        <f>CUSTOS!$E$18</f>
        <v>31119.052103736372</v>
      </c>
      <c r="AC55" s="13">
        <f>CUSTOS!$E$19</f>
        <v>-1494125.1525960967</v>
      </c>
      <c r="AD55" s="13">
        <f>CUSTOS!$E$20</f>
        <v>-1494125.1525960967</v>
      </c>
      <c r="AE55" s="13">
        <f>CUSTOS!$E$21</f>
        <v>0</v>
      </c>
      <c r="AF55" s="13">
        <f>CUSTOS!$E$22</f>
        <v>0</v>
      </c>
      <c r="AG55" s="13">
        <f>CUSTOS!$E$23</f>
        <v>0</v>
      </c>
      <c r="AH55" s="13">
        <f>CUSTOS!$E$24</f>
        <v>13331.837922066195</v>
      </c>
      <c r="AI55" s="13">
        <f>CUSTOS!$E$25</f>
        <v>0</v>
      </c>
      <c r="AJ55" s="13">
        <f>CUSTOS!$E$26</f>
        <v>0</v>
      </c>
      <c r="AK55" s="13">
        <f>CUSTOS!$E$27</f>
        <v>0</v>
      </c>
      <c r="AL55" s="13">
        <f>CUSTOS!$E$28</f>
        <v>13331.837922066195</v>
      </c>
      <c r="AM55" s="13">
        <f>CUSTOS!$E$29</f>
        <v>-1563469.7192045765</v>
      </c>
      <c r="AO55" s="18">
        <f ca="1">IF(AO53&lt;&gt;0,AO54/AO53,0)</f>
        <v>0</v>
      </c>
      <c r="AP55" s="18">
        <f ca="1">IF(AP53&lt;&gt;0,AP54/AP53,0)</f>
        <v>0</v>
      </c>
    </row>
    <row r="56" spans="1:42" ht="11.25" customHeight="1" x14ac:dyDescent="0.3">
      <c r="K56" s="16" t="s">
        <v>411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3">
      <c r="K57" s="16" t="s">
        <v>474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/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/>
      <c r="AC57" s="13">
        <v>0</v>
      </c>
      <c r="AD57" s="13"/>
      <c r="AE57" s="13">
        <v>0</v>
      </c>
      <c r="AF57" s="13">
        <v>0</v>
      </c>
      <c r="AG57" s="13"/>
      <c r="AH57" s="13">
        <v>0</v>
      </c>
      <c r="AI57" s="13">
        <v>0</v>
      </c>
      <c r="AJ57" s="13">
        <v>0</v>
      </c>
      <c r="AK57" s="13">
        <v>0</v>
      </c>
      <c r="AL57" s="13"/>
      <c r="AM57" s="13"/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conditionalFormatting sqref="L53">
    <cfRule type="cellIs" dxfId="680" priority="55" operator="notEqual">
      <formula>$L$56</formula>
    </cfRule>
    <cfRule type="cellIs" dxfId="679" priority="56" operator="equal">
      <formula>$L$56</formula>
    </cfRule>
  </conditionalFormatting>
  <conditionalFormatting sqref="M53">
    <cfRule type="cellIs" dxfId="678" priority="53" operator="notEqual">
      <formula>$M$56</formula>
    </cfRule>
    <cfRule type="cellIs" dxfId="677" priority="54" operator="equal">
      <formula>$M$56</formula>
    </cfRule>
  </conditionalFormatting>
  <conditionalFormatting sqref="N53">
    <cfRule type="cellIs" dxfId="676" priority="51" operator="notEqual">
      <formula>$N$56</formula>
    </cfRule>
    <cfRule type="cellIs" dxfId="675" priority="52" operator="equal">
      <formula>$N$56</formula>
    </cfRule>
  </conditionalFormatting>
  <conditionalFormatting sqref="O53">
    <cfRule type="cellIs" dxfId="674" priority="49" operator="notEqual">
      <formula>$O$56</formula>
    </cfRule>
    <cfRule type="cellIs" dxfId="673" priority="50" operator="equal">
      <formula>$O$56</formula>
    </cfRule>
  </conditionalFormatting>
  <conditionalFormatting sqref="P53">
    <cfRule type="cellIs" dxfId="672" priority="47" operator="notEqual">
      <formula>$P$56</formula>
    </cfRule>
    <cfRule type="cellIs" dxfId="671" priority="48" operator="equal">
      <formula>$P$56</formula>
    </cfRule>
  </conditionalFormatting>
  <conditionalFormatting sqref="Q53">
    <cfRule type="cellIs" dxfId="670" priority="45" operator="notEqual">
      <formula>$Q$56</formula>
    </cfRule>
    <cfRule type="cellIs" dxfId="669" priority="46" operator="equal">
      <formula>$Q$56</formula>
    </cfRule>
  </conditionalFormatting>
  <conditionalFormatting sqref="R53">
    <cfRule type="cellIs" dxfId="668" priority="43" operator="notEqual">
      <formula>$R$56</formula>
    </cfRule>
    <cfRule type="cellIs" dxfId="667" priority="44" operator="equal">
      <formula>$R$56</formula>
    </cfRule>
  </conditionalFormatting>
  <conditionalFormatting sqref="S53">
    <cfRule type="cellIs" dxfId="666" priority="41" operator="notEqual">
      <formula>$S$56</formula>
    </cfRule>
    <cfRule type="cellIs" dxfId="665" priority="42" operator="equal">
      <formula>$S$56</formula>
    </cfRule>
  </conditionalFormatting>
  <conditionalFormatting sqref="T53">
    <cfRule type="cellIs" dxfId="664" priority="39" operator="notEqual">
      <formula>$T$56</formula>
    </cfRule>
    <cfRule type="cellIs" dxfId="663" priority="40" operator="equal">
      <formula>$T$56</formula>
    </cfRule>
  </conditionalFormatting>
  <conditionalFormatting sqref="U53">
    <cfRule type="cellIs" dxfId="662" priority="37" operator="notEqual">
      <formula>$U$56</formula>
    </cfRule>
    <cfRule type="cellIs" dxfId="661" priority="38" operator="equal">
      <formula>$U$56</formula>
    </cfRule>
  </conditionalFormatting>
  <conditionalFormatting sqref="V53">
    <cfRule type="cellIs" dxfId="660" priority="35" operator="notEqual">
      <formula>$V$56</formula>
    </cfRule>
    <cfRule type="cellIs" dxfId="659" priority="36" operator="equal">
      <formula>$V$56</formula>
    </cfRule>
  </conditionalFormatting>
  <conditionalFormatting sqref="W53">
    <cfRule type="cellIs" dxfId="658" priority="33" operator="notEqual">
      <formula>$W$56</formula>
    </cfRule>
    <cfRule type="cellIs" dxfId="657" priority="34" operator="equal">
      <formula>$W$56</formula>
    </cfRule>
  </conditionalFormatting>
  <conditionalFormatting sqref="X53">
    <cfRule type="cellIs" dxfId="656" priority="31" operator="notEqual">
      <formula>$X$56</formula>
    </cfRule>
    <cfRule type="cellIs" dxfId="655" priority="32" operator="equal">
      <formula>$X$56</formula>
    </cfRule>
  </conditionalFormatting>
  <conditionalFormatting sqref="Y53">
    <cfRule type="cellIs" dxfId="654" priority="29" operator="notEqual">
      <formula>$Y$56</formula>
    </cfRule>
    <cfRule type="cellIs" dxfId="653" priority="30" operator="equal">
      <formula>$Y$56</formula>
    </cfRule>
  </conditionalFormatting>
  <conditionalFormatting sqref="Z53">
    <cfRule type="cellIs" dxfId="652" priority="27" operator="notEqual">
      <formula>$Z$56</formula>
    </cfRule>
    <cfRule type="cellIs" dxfId="651" priority="28" operator="equal">
      <formula>$Z$56</formula>
    </cfRule>
  </conditionalFormatting>
  <conditionalFormatting sqref="AA53">
    <cfRule type="cellIs" dxfId="650" priority="25" operator="notEqual">
      <formula>$AA$56</formula>
    </cfRule>
    <cfRule type="cellIs" dxfId="649" priority="26" operator="equal">
      <formula>$AA$56</formula>
    </cfRule>
  </conditionalFormatting>
  <conditionalFormatting sqref="AB53">
    <cfRule type="cellIs" dxfId="648" priority="23" operator="notEqual">
      <formula>$AB$56</formula>
    </cfRule>
    <cfRule type="cellIs" dxfId="647" priority="24" operator="equal">
      <formula>$AB$56</formula>
    </cfRule>
  </conditionalFormatting>
  <conditionalFormatting sqref="AC53">
    <cfRule type="cellIs" dxfId="646" priority="21" operator="notEqual">
      <formula>$AC$56</formula>
    </cfRule>
    <cfRule type="cellIs" dxfId="645" priority="22" operator="equal">
      <formula>$AC$56</formula>
    </cfRule>
  </conditionalFormatting>
  <conditionalFormatting sqref="AD53">
    <cfRule type="cellIs" dxfId="644" priority="19" operator="notEqual">
      <formula>$AD$56</formula>
    </cfRule>
    <cfRule type="cellIs" dxfId="643" priority="20" operator="equal">
      <formula>$AD$56</formula>
    </cfRule>
  </conditionalFormatting>
  <conditionalFormatting sqref="AE53">
    <cfRule type="cellIs" dxfId="642" priority="17" operator="notEqual">
      <formula>$AE$56</formula>
    </cfRule>
    <cfRule type="cellIs" dxfId="641" priority="18" operator="equal">
      <formula>$AE$56</formula>
    </cfRule>
  </conditionalFormatting>
  <conditionalFormatting sqref="AF53">
    <cfRule type="cellIs" dxfId="640" priority="16" operator="equal">
      <formula>$AF$56</formula>
    </cfRule>
  </conditionalFormatting>
  <conditionalFormatting sqref="AF53">
    <cfRule type="cellIs" dxfId="639" priority="15" operator="notEqual">
      <formula>$AF$56</formula>
    </cfRule>
  </conditionalFormatting>
  <conditionalFormatting sqref="AG53">
    <cfRule type="cellIs" dxfId="638" priority="14" operator="equal">
      <formula>$AG$56</formula>
    </cfRule>
  </conditionalFormatting>
  <conditionalFormatting sqref="AG53">
    <cfRule type="cellIs" dxfId="637" priority="13" operator="notEqual">
      <formula>$AG$56</formula>
    </cfRule>
  </conditionalFormatting>
  <conditionalFormatting sqref="AH53">
    <cfRule type="cellIs" dxfId="636" priority="12" operator="equal">
      <formula>$AH$56</formula>
    </cfRule>
  </conditionalFormatting>
  <conditionalFormatting sqref="AH53">
    <cfRule type="cellIs" dxfId="635" priority="11" operator="notEqual">
      <formula>$AH$56</formula>
    </cfRule>
  </conditionalFormatting>
  <conditionalFormatting sqref="AI53">
    <cfRule type="cellIs" dxfId="634" priority="10" operator="equal">
      <formula>$AI$56</formula>
    </cfRule>
  </conditionalFormatting>
  <conditionalFormatting sqref="AI53">
    <cfRule type="cellIs" dxfId="633" priority="9" operator="notEqual">
      <formula>$AI$56</formula>
    </cfRule>
  </conditionalFormatting>
  <conditionalFormatting sqref="AJ53">
    <cfRule type="cellIs" dxfId="632" priority="8" operator="equal">
      <formula>$AJ$56</formula>
    </cfRule>
  </conditionalFormatting>
  <conditionalFormatting sqref="AJ53">
    <cfRule type="cellIs" dxfId="631" priority="7" operator="notEqual">
      <formula>$AJ$56</formula>
    </cfRule>
  </conditionalFormatting>
  <conditionalFormatting sqref="AK53">
    <cfRule type="cellIs" dxfId="630" priority="6" operator="equal">
      <formula>$AK$56</formula>
    </cfRule>
  </conditionalFormatting>
  <conditionalFormatting sqref="AK53">
    <cfRule type="cellIs" dxfId="629" priority="5" operator="notEqual">
      <formula>$AK$56</formula>
    </cfRule>
  </conditionalFormatting>
  <conditionalFormatting sqref="AL53">
    <cfRule type="cellIs" dxfId="628" priority="4" operator="equal">
      <formula>$AL$56</formula>
    </cfRule>
  </conditionalFormatting>
  <conditionalFormatting sqref="AL53">
    <cfRule type="cellIs" dxfId="627" priority="3" operator="notEqual">
      <formula>$AL$56</formula>
    </cfRule>
  </conditionalFormatting>
  <conditionalFormatting sqref="AM53">
    <cfRule type="cellIs" dxfId="626" priority="2" operator="equal">
      <formula>$AM$56</formula>
    </cfRule>
  </conditionalFormatting>
  <conditionalFormatting sqref="AM53">
    <cfRule type="cellIs" dxfId="625" priority="1" operator="notEqual">
      <formula>$AM$56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BE24-3AFF-4CE6-964A-02F63D169002}">
  <dimension ref="A1:AB49"/>
  <sheetViews>
    <sheetView showGridLines="0" topLeftCell="A31" workbookViewId="0">
      <selection activeCell="K43" sqref="K43:AB49"/>
    </sheetView>
  </sheetViews>
  <sheetFormatPr defaultRowHeight="11.25" customHeight="1" x14ac:dyDescent="0.3"/>
  <cols>
    <col min="1" max="1" width="9" style="9" bestFit="1" customWidth="1"/>
    <col min="2" max="2" width="24.66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9" width="7.109375" style="9" bestFit="1" customWidth="1"/>
    <col min="10" max="10" width="8.88671875" style="9"/>
    <col min="11" max="11" width="19.88671875" style="9" bestFit="1" customWidth="1"/>
    <col min="12" max="12" width="7.109375" style="9" bestFit="1" customWidth="1"/>
    <col min="13" max="13" width="7.88671875" style="9" bestFit="1" customWidth="1"/>
    <col min="14" max="14" width="7.109375" style="9" bestFit="1" customWidth="1"/>
    <col min="15" max="15" width="10.33203125" style="9" bestFit="1" customWidth="1"/>
    <col min="16" max="16" width="7.6640625" style="9" bestFit="1" customWidth="1"/>
    <col min="17" max="17" width="8.5546875" style="9" bestFit="1" customWidth="1"/>
    <col min="18" max="18" width="14.44140625" style="9" bestFit="1" customWidth="1"/>
    <col min="19" max="19" width="9.109375" style="9" bestFit="1" customWidth="1"/>
    <col min="20" max="20" width="7.109375" style="9" bestFit="1" customWidth="1"/>
    <col min="21" max="21" width="9.77734375" style="9" bestFit="1" customWidth="1"/>
    <col min="22" max="22" width="7.109375" style="9" bestFit="1" customWidth="1"/>
    <col min="23" max="23" width="8.5546875" style="9" bestFit="1" customWidth="1"/>
    <col min="24" max="24" width="7.77734375" style="9" bestFit="1" customWidth="1"/>
    <col min="25" max="25" width="8.5546875" style="9" bestFit="1" customWidth="1"/>
    <col min="26" max="26" width="10.5546875" style="9" bestFit="1" customWidth="1"/>
    <col min="27" max="27" width="8.5546875" style="9" bestFit="1" customWidth="1"/>
    <col min="28" max="28" width="9.109375" style="9" bestFit="1" customWidth="1"/>
    <col min="29" max="16384" width="8.88671875" style="9"/>
  </cols>
  <sheetData>
    <row r="1" spans="1:28" ht="11.25" customHeight="1" x14ac:dyDescent="0.3">
      <c r="A1" s="101" t="s">
        <v>58</v>
      </c>
      <c r="B1" s="101" t="s">
        <v>59</v>
      </c>
      <c r="C1" s="101" t="s">
        <v>60</v>
      </c>
      <c r="D1" s="101" t="s">
        <v>61</v>
      </c>
      <c r="E1" s="101" t="s">
        <v>62</v>
      </c>
      <c r="F1" s="101" t="s">
        <v>15</v>
      </c>
      <c r="G1" s="101" t="s">
        <v>64</v>
      </c>
      <c r="H1" s="101" t="s">
        <v>65</v>
      </c>
      <c r="I1" s="101" t="s">
        <v>468</v>
      </c>
      <c r="J1" s="80"/>
      <c r="L1" s="99" t="s">
        <v>489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1.2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80"/>
      <c r="L2" s="99" t="s">
        <v>395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11.25" customHeight="1" x14ac:dyDescent="0.3">
      <c r="A3" s="101"/>
      <c r="B3" s="101"/>
      <c r="C3" s="101"/>
      <c r="D3" s="101"/>
      <c r="E3" s="101"/>
      <c r="F3" s="101"/>
      <c r="G3" s="101"/>
      <c r="H3" s="101"/>
      <c r="I3" s="101"/>
      <c r="J3" s="80"/>
      <c r="L3" s="99" t="s">
        <v>368</v>
      </c>
      <c r="M3" s="99"/>
      <c r="N3" s="99"/>
      <c r="O3" s="99"/>
      <c r="P3" s="99"/>
      <c r="Q3" s="99"/>
      <c r="R3" s="99" t="s">
        <v>399</v>
      </c>
      <c r="S3" s="99"/>
      <c r="T3" s="99" t="s">
        <v>377</v>
      </c>
      <c r="U3" s="99"/>
      <c r="V3" s="99"/>
      <c r="W3" s="99"/>
      <c r="X3" s="99" t="s">
        <v>387</v>
      </c>
      <c r="Y3" s="99"/>
      <c r="Z3" s="99" t="s">
        <v>390</v>
      </c>
      <c r="AA3" s="99"/>
      <c r="AB3" s="99" t="s">
        <v>376</v>
      </c>
    </row>
    <row r="4" spans="1:28" ht="11.25" customHeight="1" x14ac:dyDescent="0.3">
      <c r="A4" s="101"/>
      <c r="B4" s="101"/>
      <c r="C4" s="101"/>
      <c r="D4" s="101"/>
      <c r="E4" s="101"/>
      <c r="F4" s="101"/>
      <c r="G4" s="101"/>
      <c r="H4" s="101"/>
      <c r="I4" s="101"/>
      <c r="J4" s="80"/>
      <c r="L4" s="24" t="s">
        <v>370</v>
      </c>
      <c r="M4" s="24" t="s">
        <v>396</v>
      </c>
      <c r="N4" s="24" t="s">
        <v>397</v>
      </c>
      <c r="O4" s="24" t="s">
        <v>456</v>
      </c>
      <c r="P4" s="24" t="s">
        <v>398</v>
      </c>
      <c r="Q4" s="24" t="s">
        <v>376</v>
      </c>
      <c r="R4" s="24" t="s">
        <v>400</v>
      </c>
      <c r="S4" s="24" t="s">
        <v>376</v>
      </c>
      <c r="T4" s="24" t="s">
        <v>401</v>
      </c>
      <c r="U4" s="24" t="s">
        <v>402</v>
      </c>
      <c r="V4" s="24" t="s">
        <v>403</v>
      </c>
      <c r="W4" s="24" t="s">
        <v>376</v>
      </c>
      <c r="X4" s="24" t="s">
        <v>388</v>
      </c>
      <c r="Y4" s="24" t="s">
        <v>376</v>
      </c>
      <c r="Z4" s="24" t="s">
        <v>404</v>
      </c>
      <c r="AA4" s="24" t="s">
        <v>376</v>
      </c>
      <c r="AB4" s="100"/>
    </row>
    <row r="5" spans="1:28" ht="11.25" customHeight="1" x14ac:dyDescent="0.3">
      <c r="A5" s="102" t="s">
        <v>33</v>
      </c>
      <c r="B5" s="102" t="s">
        <v>67</v>
      </c>
      <c r="C5" s="102" t="s">
        <v>25</v>
      </c>
      <c r="D5" s="102" t="s">
        <v>25</v>
      </c>
      <c r="E5" s="102" t="s">
        <v>25</v>
      </c>
      <c r="F5" s="102" t="s">
        <v>25</v>
      </c>
      <c r="G5" s="23" t="s">
        <v>69</v>
      </c>
      <c r="H5" s="23" t="s">
        <v>68</v>
      </c>
      <c r="I5" s="23">
        <f>'MERCADO TE'!$U$2</f>
        <v>917.56700000000001</v>
      </c>
      <c r="J5" s="15"/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/>
      <c r="R5" s="20">
        <v>1</v>
      </c>
      <c r="S5" s="20"/>
      <c r="T5" s="20">
        <v>1</v>
      </c>
      <c r="U5" s="20">
        <v>1</v>
      </c>
      <c r="V5" s="20">
        <v>1</v>
      </c>
      <c r="W5" s="20"/>
      <c r="X5" s="20"/>
      <c r="Y5" s="20"/>
      <c r="Z5" s="20">
        <v>1</v>
      </c>
      <c r="AA5" s="20"/>
      <c r="AB5" s="20"/>
    </row>
    <row r="6" spans="1:28" ht="11.25" customHeight="1" x14ac:dyDescent="0.3">
      <c r="A6" s="102"/>
      <c r="B6" s="102"/>
      <c r="C6" s="102"/>
      <c r="D6" s="102"/>
      <c r="E6" s="102"/>
      <c r="F6" s="102"/>
      <c r="G6" s="23" t="s">
        <v>70</v>
      </c>
      <c r="H6" s="23" t="s">
        <v>68</v>
      </c>
      <c r="I6" s="23">
        <f>'MERCADO TE'!$U$3</f>
        <v>10340.044</v>
      </c>
      <c r="J6" s="15"/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/>
      <c r="R6" s="20">
        <v>1</v>
      </c>
      <c r="S6" s="20"/>
      <c r="T6" s="20">
        <v>1</v>
      </c>
      <c r="U6" s="20">
        <v>1</v>
      </c>
      <c r="V6" s="20">
        <v>1</v>
      </c>
      <c r="W6" s="20"/>
      <c r="X6" s="20"/>
      <c r="Y6" s="20"/>
      <c r="Z6" s="20">
        <v>1</v>
      </c>
      <c r="AA6" s="20"/>
      <c r="AB6" s="20"/>
    </row>
    <row r="7" spans="1:28" ht="11.25" customHeight="1" x14ac:dyDescent="0.3">
      <c r="A7" s="102" t="s">
        <v>22</v>
      </c>
      <c r="B7" s="102" t="s">
        <v>67</v>
      </c>
      <c r="C7" s="102" t="s">
        <v>24</v>
      </c>
      <c r="D7" s="102" t="s">
        <v>24</v>
      </c>
      <c r="E7" s="102" t="s">
        <v>25</v>
      </c>
      <c r="F7" s="102" t="s">
        <v>25</v>
      </c>
      <c r="G7" s="23" t="s">
        <v>69</v>
      </c>
      <c r="H7" s="23" t="s">
        <v>68</v>
      </c>
      <c r="I7" s="23">
        <f>'MERCADO TE'!$U$4</f>
        <v>0</v>
      </c>
      <c r="J7" s="15"/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/>
      <c r="R7" s="20">
        <v>1</v>
      </c>
      <c r="S7" s="20"/>
      <c r="T7" s="20">
        <v>1</v>
      </c>
      <c r="U7" s="20">
        <v>1</v>
      </c>
      <c r="V7" s="20">
        <v>1</v>
      </c>
      <c r="W7" s="20"/>
      <c r="X7" s="20"/>
      <c r="Y7" s="20"/>
      <c r="Z7" s="20">
        <v>1</v>
      </c>
      <c r="AA7" s="20"/>
      <c r="AB7" s="20"/>
    </row>
    <row r="8" spans="1:28" ht="11.25" customHeight="1" x14ac:dyDescent="0.3">
      <c r="A8" s="102"/>
      <c r="B8" s="102"/>
      <c r="C8" s="102"/>
      <c r="D8" s="102"/>
      <c r="E8" s="102"/>
      <c r="F8" s="102"/>
      <c r="G8" s="23" t="s">
        <v>80</v>
      </c>
      <c r="H8" s="23" t="s">
        <v>68</v>
      </c>
      <c r="I8" s="23">
        <f>'MERCADO TE'!$U$5</f>
        <v>0</v>
      </c>
      <c r="J8" s="15"/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/>
      <c r="R8" s="20">
        <v>1</v>
      </c>
      <c r="S8" s="20"/>
      <c r="T8" s="20">
        <v>1</v>
      </c>
      <c r="U8" s="20">
        <v>1</v>
      </c>
      <c r="V8" s="20">
        <v>1</v>
      </c>
      <c r="W8" s="20"/>
      <c r="X8" s="20"/>
      <c r="Y8" s="20"/>
      <c r="Z8" s="20">
        <v>1</v>
      </c>
      <c r="AA8" s="20"/>
      <c r="AB8" s="20"/>
    </row>
    <row r="9" spans="1:28" ht="11.25" customHeight="1" x14ac:dyDescent="0.3">
      <c r="A9" s="102"/>
      <c r="B9" s="102"/>
      <c r="C9" s="102"/>
      <c r="D9" s="102"/>
      <c r="E9" s="102"/>
      <c r="F9" s="102"/>
      <c r="G9" s="23" t="s">
        <v>70</v>
      </c>
      <c r="H9" s="23" t="s">
        <v>68</v>
      </c>
      <c r="I9" s="23">
        <f>'MERCADO TE'!$U$6</f>
        <v>0</v>
      </c>
      <c r="J9" s="15"/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/>
      <c r="R9" s="20">
        <v>1</v>
      </c>
      <c r="S9" s="20"/>
      <c r="T9" s="20">
        <v>1</v>
      </c>
      <c r="U9" s="20">
        <v>1</v>
      </c>
      <c r="V9" s="20">
        <v>1</v>
      </c>
      <c r="W9" s="20"/>
      <c r="X9" s="20"/>
      <c r="Y9" s="20"/>
      <c r="Z9" s="20">
        <v>1</v>
      </c>
      <c r="AA9" s="20"/>
      <c r="AB9" s="20"/>
    </row>
    <row r="10" spans="1:28" ht="11.25" customHeight="1" x14ac:dyDescent="0.3">
      <c r="A10" s="102"/>
      <c r="B10" s="102" t="s">
        <v>81</v>
      </c>
      <c r="C10" s="102" t="s">
        <v>24</v>
      </c>
      <c r="D10" s="22" t="s">
        <v>24</v>
      </c>
      <c r="E10" s="22" t="s">
        <v>25</v>
      </c>
      <c r="F10" s="22" t="s">
        <v>25</v>
      </c>
      <c r="G10" s="23" t="s">
        <v>74</v>
      </c>
      <c r="H10" s="23" t="s">
        <v>68</v>
      </c>
      <c r="I10" s="23">
        <f>'MERCADO TE'!$U$7</f>
        <v>434.28799999999995</v>
      </c>
      <c r="J10" s="15"/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/>
      <c r="R10" s="20">
        <v>1</v>
      </c>
      <c r="S10" s="20"/>
      <c r="T10" s="20">
        <v>1</v>
      </c>
      <c r="U10" s="20">
        <v>1</v>
      </c>
      <c r="V10" s="20">
        <v>1</v>
      </c>
      <c r="W10" s="20"/>
      <c r="X10" s="20"/>
      <c r="Y10" s="20"/>
      <c r="Z10" s="20">
        <v>1</v>
      </c>
      <c r="AA10" s="20"/>
      <c r="AB10" s="20"/>
    </row>
    <row r="11" spans="1:28" ht="11.25" customHeight="1" x14ac:dyDescent="0.3">
      <c r="A11" s="102"/>
      <c r="B11" s="102"/>
      <c r="C11" s="102"/>
      <c r="D11" s="22" t="s">
        <v>27</v>
      </c>
      <c r="E11" s="22" t="s">
        <v>25</v>
      </c>
      <c r="F11" s="22" t="s">
        <v>25</v>
      </c>
      <c r="G11" s="23" t="s">
        <v>74</v>
      </c>
      <c r="H11" s="23" t="s">
        <v>68</v>
      </c>
      <c r="I11" s="23">
        <f>'MERCADO TE'!$U$8</f>
        <v>2.37</v>
      </c>
      <c r="J11" s="15"/>
      <c r="L11" s="20">
        <f>1 - CUSTOS!$M$24</f>
        <v>1</v>
      </c>
      <c r="M11" s="20">
        <f>1 - CUSTOS!$M$24</f>
        <v>1</v>
      </c>
      <c r="N11" s="20">
        <f>1 - CUSTOS!$M$24</f>
        <v>1</v>
      </c>
      <c r="O11" s="20">
        <f>1 - CUSTOS!$M$24</f>
        <v>1</v>
      </c>
      <c r="P11" s="20">
        <f>1 - CUSTOS!$M$24</f>
        <v>1</v>
      </c>
      <c r="Q11" s="20"/>
      <c r="R11" s="20">
        <f>(1 - CUSTOS!$M$24)*1</f>
        <v>1</v>
      </c>
      <c r="S11" s="20"/>
      <c r="T11" s="20">
        <f>1 - CUSTOS!$M$24</f>
        <v>1</v>
      </c>
      <c r="U11" s="20">
        <f>1 - CUSTOS!$M$24</f>
        <v>1</v>
      </c>
      <c r="V11" s="20">
        <f>1 - CUSTOS!$M$24</f>
        <v>1</v>
      </c>
      <c r="W11" s="20"/>
      <c r="X11" s="20"/>
      <c r="Y11" s="20"/>
      <c r="Z11" s="20">
        <f>1 - CUSTOS!$M$24</f>
        <v>1</v>
      </c>
      <c r="AA11" s="20"/>
      <c r="AB11" s="20"/>
    </row>
    <row r="12" spans="1:28" ht="11.25" customHeight="1" x14ac:dyDescent="0.3">
      <c r="A12" s="102"/>
      <c r="B12" s="102"/>
      <c r="C12" s="102"/>
      <c r="D12" s="22" t="s">
        <v>28</v>
      </c>
      <c r="E12" s="22" t="s">
        <v>25</v>
      </c>
      <c r="F12" s="22" t="s">
        <v>25</v>
      </c>
      <c r="G12" s="23" t="s">
        <v>74</v>
      </c>
      <c r="H12" s="23" t="s">
        <v>68</v>
      </c>
      <c r="I12" s="23">
        <f>'MERCADO TE'!$U$9</f>
        <v>4.327</v>
      </c>
      <c r="J12" s="15"/>
      <c r="L12" s="20">
        <f>1 - CUSTOS!$M$25</f>
        <v>1</v>
      </c>
      <c r="M12" s="20">
        <f>1 - CUSTOS!$M$25</f>
        <v>1</v>
      </c>
      <c r="N12" s="20">
        <f>1 - CUSTOS!$M$25</f>
        <v>1</v>
      </c>
      <c r="O12" s="20">
        <f>1 - CUSTOS!$M$25</f>
        <v>1</v>
      </c>
      <c r="P12" s="20">
        <f>1 - CUSTOS!$M$25</f>
        <v>1</v>
      </c>
      <c r="Q12" s="20"/>
      <c r="R12" s="20">
        <f>(1 - CUSTOS!$M$25)*1</f>
        <v>1</v>
      </c>
      <c r="S12" s="20"/>
      <c r="T12" s="20">
        <f>1 - CUSTOS!$M$25</f>
        <v>1</v>
      </c>
      <c r="U12" s="20">
        <f>1 - CUSTOS!$M$25</f>
        <v>1</v>
      </c>
      <c r="V12" s="20">
        <f>1 - CUSTOS!$M$25</f>
        <v>1</v>
      </c>
      <c r="W12" s="20"/>
      <c r="X12" s="20"/>
      <c r="Y12" s="20"/>
      <c r="Z12" s="20">
        <f>1 - CUSTOS!$M$25</f>
        <v>1</v>
      </c>
      <c r="AA12" s="20"/>
      <c r="AB12" s="20"/>
    </row>
    <row r="13" spans="1:28" ht="11.25" customHeight="1" x14ac:dyDescent="0.3">
      <c r="A13" s="102"/>
      <c r="B13" s="102"/>
      <c r="C13" s="102"/>
      <c r="D13" s="22" t="s">
        <v>29</v>
      </c>
      <c r="E13" s="22" t="s">
        <v>25</v>
      </c>
      <c r="F13" s="22" t="s">
        <v>25</v>
      </c>
      <c r="G13" s="23" t="s">
        <v>74</v>
      </c>
      <c r="H13" s="23" t="s">
        <v>68</v>
      </c>
      <c r="I13" s="23">
        <f>'MERCADO TE'!$U$10</f>
        <v>5.7929999999999993</v>
      </c>
      <c r="J13" s="15"/>
      <c r="L13" s="20">
        <f>1 - CUSTOS!$M$26</f>
        <v>1</v>
      </c>
      <c r="M13" s="20">
        <f>1 - CUSTOS!$M$26</f>
        <v>1</v>
      </c>
      <c r="N13" s="20">
        <f>1 - CUSTOS!$M$26</f>
        <v>1</v>
      </c>
      <c r="O13" s="20">
        <f>1 - CUSTOS!$M$26</f>
        <v>1</v>
      </c>
      <c r="P13" s="20">
        <f>1 - CUSTOS!$M$26</f>
        <v>1</v>
      </c>
      <c r="Q13" s="20"/>
      <c r="R13" s="20">
        <f>(1 - CUSTOS!$M$26)*1</f>
        <v>1</v>
      </c>
      <c r="S13" s="20"/>
      <c r="T13" s="20">
        <f>1 - CUSTOS!$M$26</f>
        <v>1</v>
      </c>
      <c r="U13" s="20">
        <f>1 - CUSTOS!$M$26</f>
        <v>1</v>
      </c>
      <c r="V13" s="20">
        <f>1 - CUSTOS!$M$26</f>
        <v>1</v>
      </c>
      <c r="W13" s="20"/>
      <c r="X13" s="20"/>
      <c r="Y13" s="20"/>
      <c r="Z13" s="20">
        <f>1 - CUSTOS!$M$26</f>
        <v>1</v>
      </c>
      <c r="AA13" s="20"/>
      <c r="AB13" s="20"/>
    </row>
    <row r="14" spans="1:28" ht="11.25" customHeight="1" x14ac:dyDescent="0.3">
      <c r="A14" s="102"/>
      <c r="B14" s="102"/>
      <c r="C14" s="102"/>
      <c r="D14" s="22" t="s">
        <v>30</v>
      </c>
      <c r="E14" s="22" t="s">
        <v>25</v>
      </c>
      <c r="F14" s="22" t="s">
        <v>25</v>
      </c>
      <c r="G14" s="23" t="s">
        <v>74</v>
      </c>
      <c r="H14" s="23" t="s">
        <v>68</v>
      </c>
      <c r="I14" s="23">
        <f>'MERCADO TE'!$U$11</f>
        <v>2.0990000000000002</v>
      </c>
      <c r="J14" s="15"/>
      <c r="L14" s="20">
        <f>1 - CUSTOS!$M$27</f>
        <v>1</v>
      </c>
      <c r="M14" s="20">
        <f>1 - CUSTOS!$M$27</f>
        <v>1</v>
      </c>
      <c r="N14" s="20">
        <f>1 - CUSTOS!$M$27</f>
        <v>1</v>
      </c>
      <c r="O14" s="20">
        <f>1 - CUSTOS!$M$27</f>
        <v>1</v>
      </c>
      <c r="P14" s="20">
        <f>1 - CUSTOS!$M$27</f>
        <v>1</v>
      </c>
      <c r="Q14" s="20"/>
      <c r="R14" s="20">
        <f>(1 - CUSTOS!$M$27)*1</f>
        <v>1</v>
      </c>
      <c r="S14" s="20"/>
      <c r="T14" s="20">
        <f>1 - CUSTOS!$M$27</f>
        <v>1</v>
      </c>
      <c r="U14" s="20">
        <f>1 - CUSTOS!$M$27</f>
        <v>1</v>
      </c>
      <c r="V14" s="20">
        <f>1 - CUSTOS!$M$27</f>
        <v>1</v>
      </c>
      <c r="W14" s="20"/>
      <c r="X14" s="20"/>
      <c r="Y14" s="20"/>
      <c r="Z14" s="20">
        <f>1 - CUSTOS!$M$27</f>
        <v>1</v>
      </c>
      <c r="AA14" s="20"/>
      <c r="AB14" s="20"/>
    </row>
    <row r="15" spans="1:28" ht="11.25" customHeight="1" x14ac:dyDescent="0.3">
      <c r="A15" s="102"/>
      <c r="B15" s="102" t="s">
        <v>83</v>
      </c>
      <c r="C15" s="102" t="s">
        <v>24</v>
      </c>
      <c r="D15" s="22" t="s">
        <v>24</v>
      </c>
      <c r="E15" s="22" t="s">
        <v>25</v>
      </c>
      <c r="F15" s="22" t="s">
        <v>25</v>
      </c>
      <c r="G15" s="23" t="s">
        <v>74</v>
      </c>
      <c r="H15" s="23" t="s">
        <v>68</v>
      </c>
      <c r="I15" s="23">
        <f>'MERCADO TE'!$U$12</f>
        <v>0</v>
      </c>
      <c r="J15" s="15"/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/>
      <c r="R15" s="20">
        <v>1</v>
      </c>
      <c r="S15" s="20"/>
      <c r="T15" s="20">
        <v>1</v>
      </c>
      <c r="U15" s="20">
        <v>1</v>
      </c>
      <c r="V15" s="20">
        <v>1</v>
      </c>
      <c r="W15" s="20"/>
      <c r="X15" s="20"/>
      <c r="Y15" s="20"/>
      <c r="Z15" s="20">
        <v>1</v>
      </c>
      <c r="AA15" s="20"/>
      <c r="AB15" s="20"/>
    </row>
    <row r="16" spans="1:28" ht="11.25" customHeight="1" x14ac:dyDescent="0.3">
      <c r="A16" s="102"/>
      <c r="B16" s="102"/>
      <c r="C16" s="102"/>
      <c r="D16" s="22" t="s">
        <v>27</v>
      </c>
      <c r="E16" s="22" t="s">
        <v>25</v>
      </c>
      <c r="F16" s="22" t="s">
        <v>25</v>
      </c>
      <c r="G16" s="23" t="s">
        <v>74</v>
      </c>
      <c r="H16" s="23" t="s">
        <v>68</v>
      </c>
      <c r="I16" s="23">
        <f>'MERCADO TE'!$U$13</f>
        <v>0</v>
      </c>
      <c r="J16" s="15"/>
      <c r="L16" s="20">
        <f>1 - CUSTOS!$M$24</f>
        <v>1</v>
      </c>
      <c r="M16" s="20">
        <f>1 - CUSTOS!$M$24</f>
        <v>1</v>
      </c>
      <c r="N16" s="20">
        <f>1 - CUSTOS!$M$24</f>
        <v>1</v>
      </c>
      <c r="O16" s="20">
        <f>1 - CUSTOS!$M$24</f>
        <v>1</v>
      </c>
      <c r="P16" s="20">
        <f>1 - CUSTOS!$M$24</f>
        <v>1</v>
      </c>
      <c r="Q16" s="20"/>
      <c r="R16" s="20">
        <f>(1 - CUSTOS!$M$24)*1</f>
        <v>1</v>
      </c>
      <c r="S16" s="20"/>
      <c r="T16" s="20">
        <f>1 - CUSTOS!$M$24</f>
        <v>1</v>
      </c>
      <c r="U16" s="20">
        <f>1 - CUSTOS!$M$24</f>
        <v>1</v>
      </c>
      <c r="V16" s="20">
        <f>1 - CUSTOS!$M$24</f>
        <v>1</v>
      </c>
      <c r="W16" s="20"/>
      <c r="X16" s="20"/>
      <c r="Y16" s="20"/>
      <c r="Z16" s="20">
        <f>1 - CUSTOS!$M$24</f>
        <v>1</v>
      </c>
      <c r="AA16" s="20"/>
      <c r="AB16" s="20"/>
    </row>
    <row r="17" spans="1:28" ht="11.25" customHeight="1" x14ac:dyDescent="0.3">
      <c r="A17" s="102"/>
      <c r="B17" s="102"/>
      <c r="C17" s="102"/>
      <c r="D17" s="22" t="s">
        <v>28</v>
      </c>
      <c r="E17" s="22" t="s">
        <v>25</v>
      </c>
      <c r="F17" s="22" t="s">
        <v>25</v>
      </c>
      <c r="G17" s="23" t="s">
        <v>74</v>
      </c>
      <c r="H17" s="23" t="s">
        <v>68</v>
      </c>
      <c r="I17" s="23">
        <f>'MERCADO TE'!$U$14</f>
        <v>0</v>
      </c>
      <c r="J17" s="15"/>
      <c r="L17" s="20">
        <f>1 - CUSTOS!$M$25</f>
        <v>1</v>
      </c>
      <c r="M17" s="20">
        <f>1 - CUSTOS!$M$25</f>
        <v>1</v>
      </c>
      <c r="N17" s="20">
        <f>1 - CUSTOS!$M$25</f>
        <v>1</v>
      </c>
      <c r="O17" s="20">
        <f>1 - CUSTOS!$M$25</f>
        <v>1</v>
      </c>
      <c r="P17" s="20">
        <f>1 - CUSTOS!$M$25</f>
        <v>1</v>
      </c>
      <c r="Q17" s="20"/>
      <c r="R17" s="20">
        <f>(1 - CUSTOS!$M$25)*1</f>
        <v>1</v>
      </c>
      <c r="S17" s="20"/>
      <c r="T17" s="20">
        <f>1 - CUSTOS!$M$25</f>
        <v>1</v>
      </c>
      <c r="U17" s="20">
        <f>1 - CUSTOS!$M$25</f>
        <v>1</v>
      </c>
      <c r="V17" s="20">
        <f>1 - CUSTOS!$M$25</f>
        <v>1</v>
      </c>
      <c r="W17" s="20"/>
      <c r="X17" s="20"/>
      <c r="Y17" s="20"/>
      <c r="Z17" s="20">
        <f>1 - CUSTOS!$M$25</f>
        <v>1</v>
      </c>
      <c r="AA17" s="20"/>
      <c r="AB17" s="20"/>
    </row>
    <row r="18" spans="1:28" ht="11.25" customHeight="1" x14ac:dyDescent="0.3">
      <c r="A18" s="102"/>
      <c r="B18" s="102"/>
      <c r="C18" s="102"/>
      <c r="D18" s="22" t="s">
        <v>29</v>
      </c>
      <c r="E18" s="22" t="s">
        <v>25</v>
      </c>
      <c r="F18" s="22" t="s">
        <v>25</v>
      </c>
      <c r="G18" s="23" t="s">
        <v>74</v>
      </c>
      <c r="H18" s="23" t="s">
        <v>68</v>
      </c>
      <c r="I18" s="23">
        <f>'MERCADO TE'!$U$15</f>
        <v>0</v>
      </c>
      <c r="J18" s="15"/>
      <c r="L18" s="20">
        <f>1 - CUSTOS!$M$26</f>
        <v>1</v>
      </c>
      <c r="M18" s="20">
        <f>1 - CUSTOS!$M$26</f>
        <v>1</v>
      </c>
      <c r="N18" s="20">
        <f>1 - CUSTOS!$M$26</f>
        <v>1</v>
      </c>
      <c r="O18" s="20">
        <f>1 - CUSTOS!$M$26</f>
        <v>1</v>
      </c>
      <c r="P18" s="20">
        <f>1 - CUSTOS!$M$26</f>
        <v>1</v>
      </c>
      <c r="Q18" s="20"/>
      <c r="R18" s="20">
        <f>(1 - CUSTOS!$M$26)*1</f>
        <v>1</v>
      </c>
      <c r="S18" s="20"/>
      <c r="T18" s="20">
        <f>1 - CUSTOS!$M$26</f>
        <v>1</v>
      </c>
      <c r="U18" s="20">
        <f>1 - CUSTOS!$M$26</f>
        <v>1</v>
      </c>
      <c r="V18" s="20">
        <f>1 - CUSTOS!$M$26</f>
        <v>1</v>
      </c>
      <c r="W18" s="20"/>
      <c r="X18" s="20"/>
      <c r="Y18" s="20"/>
      <c r="Z18" s="20">
        <f>1 - CUSTOS!$M$26</f>
        <v>1</v>
      </c>
      <c r="AA18" s="20"/>
      <c r="AB18" s="20"/>
    </row>
    <row r="19" spans="1:28" ht="11.25" customHeight="1" x14ac:dyDescent="0.3">
      <c r="A19" s="102"/>
      <c r="B19" s="102"/>
      <c r="C19" s="102"/>
      <c r="D19" s="22" t="s">
        <v>30</v>
      </c>
      <c r="E19" s="22" t="s">
        <v>25</v>
      </c>
      <c r="F19" s="22" t="s">
        <v>25</v>
      </c>
      <c r="G19" s="23" t="s">
        <v>74</v>
      </c>
      <c r="H19" s="23" t="s">
        <v>68</v>
      </c>
      <c r="I19" s="23">
        <f>'MERCADO TE'!$U$16</f>
        <v>0</v>
      </c>
      <c r="J19" s="15"/>
      <c r="L19" s="20">
        <f>1 - CUSTOS!$M$27</f>
        <v>1</v>
      </c>
      <c r="M19" s="20">
        <f>1 - CUSTOS!$M$27</f>
        <v>1</v>
      </c>
      <c r="N19" s="20">
        <f>1 - CUSTOS!$M$27</f>
        <v>1</v>
      </c>
      <c r="O19" s="20">
        <f>1 - CUSTOS!$M$27</f>
        <v>1</v>
      </c>
      <c r="P19" s="20">
        <f>1 - CUSTOS!$M$27</f>
        <v>1</v>
      </c>
      <c r="Q19" s="20"/>
      <c r="R19" s="20">
        <f>(1 - CUSTOS!$M$27)*1</f>
        <v>1</v>
      </c>
      <c r="S19" s="20"/>
      <c r="T19" s="20">
        <f>1 - CUSTOS!$M$27</f>
        <v>1</v>
      </c>
      <c r="U19" s="20">
        <f>1 - CUSTOS!$M$27</f>
        <v>1</v>
      </c>
      <c r="V19" s="20">
        <f>1 - CUSTOS!$M$27</f>
        <v>1</v>
      </c>
      <c r="W19" s="20"/>
      <c r="X19" s="20"/>
      <c r="Y19" s="20"/>
      <c r="Z19" s="20">
        <f>1 - CUSTOS!$M$27</f>
        <v>1</v>
      </c>
      <c r="AA19" s="20"/>
      <c r="AB19" s="20"/>
    </row>
    <row r="20" spans="1:28" ht="11.25" customHeight="1" x14ac:dyDescent="0.3">
      <c r="A20" s="102" t="s">
        <v>39</v>
      </c>
      <c r="B20" s="102" t="s">
        <v>67</v>
      </c>
      <c r="C20" s="102" t="s">
        <v>40</v>
      </c>
      <c r="D20" s="102" t="s">
        <v>25</v>
      </c>
      <c r="E20" s="102" t="s">
        <v>25</v>
      </c>
      <c r="F20" s="102" t="s">
        <v>25</v>
      </c>
      <c r="G20" s="23" t="s">
        <v>69</v>
      </c>
      <c r="H20" s="23" t="s">
        <v>68</v>
      </c>
      <c r="I20" s="23">
        <f>'MERCADO TE'!$U$17</f>
        <v>0</v>
      </c>
      <c r="J20" s="15"/>
      <c r="L20" s="20">
        <f>1 - CUSTOS!$M$28</f>
        <v>1</v>
      </c>
      <c r="M20" s="20">
        <f>1 - CUSTOS!$M$28</f>
        <v>1</v>
      </c>
      <c r="N20" s="20">
        <f>1 - CUSTOS!$M$28</f>
        <v>1</v>
      </c>
      <c r="O20" s="20">
        <f>1 - CUSTOS!$M$28</f>
        <v>1</v>
      </c>
      <c r="P20" s="20">
        <f>1 - CUSTOS!$M$28</f>
        <v>1</v>
      </c>
      <c r="Q20" s="20"/>
      <c r="R20" s="20">
        <f>(1 - CUSTOS!$M$28)*1</f>
        <v>1</v>
      </c>
      <c r="S20" s="20"/>
      <c r="T20" s="20">
        <f>1 - CUSTOS!$M$28</f>
        <v>1</v>
      </c>
      <c r="U20" s="20">
        <f>1 - CUSTOS!$M$28</f>
        <v>1</v>
      </c>
      <c r="V20" s="20">
        <f>1 - CUSTOS!$M$28</f>
        <v>1</v>
      </c>
      <c r="W20" s="20"/>
      <c r="X20" s="20"/>
      <c r="Y20" s="20"/>
      <c r="Z20" s="20">
        <f>1 - CUSTOS!$M$28</f>
        <v>1</v>
      </c>
      <c r="AA20" s="20"/>
      <c r="AB20" s="20"/>
    </row>
    <row r="21" spans="1:28" ht="11.25" customHeight="1" x14ac:dyDescent="0.3">
      <c r="A21" s="102"/>
      <c r="B21" s="102"/>
      <c r="C21" s="102"/>
      <c r="D21" s="102"/>
      <c r="E21" s="102"/>
      <c r="F21" s="102"/>
      <c r="G21" s="23" t="s">
        <v>80</v>
      </c>
      <c r="H21" s="23" t="s">
        <v>68</v>
      </c>
      <c r="I21" s="23">
        <f>'MERCADO TE'!$U$18</f>
        <v>0</v>
      </c>
      <c r="J21" s="15"/>
      <c r="L21" s="20">
        <f>1 - CUSTOS!$M$28</f>
        <v>1</v>
      </c>
      <c r="M21" s="20">
        <f>1 - CUSTOS!$M$28</f>
        <v>1</v>
      </c>
      <c r="N21" s="20">
        <f>1 - CUSTOS!$M$28</f>
        <v>1</v>
      </c>
      <c r="O21" s="20">
        <f>1 - CUSTOS!$M$28</f>
        <v>1</v>
      </c>
      <c r="P21" s="20">
        <f>1 - CUSTOS!$M$28</f>
        <v>1</v>
      </c>
      <c r="Q21" s="20"/>
      <c r="R21" s="20">
        <f>(1 - CUSTOS!$M$28)*1</f>
        <v>1</v>
      </c>
      <c r="S21" s="20"/>
      <c r="T21" s="20">
        <f>1 - CUSTOS!$M$28</f>
        <v>1</v>
      </c>
      <c r="U21" s="20">
        <f>1 - CUSTOS!$M$28</f>
        <v>1</v>
      </c>
      <c r="V21" s="20">
        <f>1 - CUSTOS!$M$28</f>
        <v>1</v>
      </c>
      <c r="W21" s="20"/>
      <c r="X21" s="20"/>
      <c r="Y21" s="20"/>
      <c r="Z21" s="20">
        <f>1 - CUSTOS!$M$28</f>
        <v>1</v>
      </c>
      <c r="AA21" s="20"/>
      <c r="AB21" s="20"/>
    </row>
    <row r="22" spans="1:28" ht="11.25" customHeight="1" x14ac:dyDescent="0.3">
      <c r="A22" s="102"/>
      <c r="B22" s="102"/>
      <c r="C22" s="102"/>
      <c r="D22" s="102"/>
      <c r="E22" s="102"/>
      <c r="F22" s="102"/>
      <c r="G22" s="23" t="s">
        <v>70</v>
      </c>
      <c r="H22" s="23" t="s">
        <v>68</v>
      </c>
      <c r="I22" s="23">
        <f>'MERCADO TE'!$U$19</f>
        <v>0</v>
      </c>
      <c r="J22" s="15"/>
      <c r="L22" s="20">
        <f>1 - CUSTOS!$M$28</f>
        <v>1</v>
      </c>
      <c r="M22" s="20">
        <f>1 - CUSTOS!$M$28</f>
        <v>1</v>
      </c>
      <c r="N22" s="20">
        <f>1 - CUSTOS!$M$28</f>
        <v>1</v>
      </c>
      <c r="O22" s="20">
        <f>1 - CUSTOS!$M$28</f>
        <v>1</v>
      </c>
      <c r="P22" s="20">
        <f>1 - CUSTOS!$M$28</f>
        <v>1</v>
      </c>
      <c r="Q22" s="20"/>
      <c r="R22" s="20">
        <f>(1 - CUSTOS!$M$28)*1</f>
        <v>1</v>
      </c>
      <c r="S22" s="20"/>
      <c r="T22" s="20">
        <f>1 - CUSTOS!$M$28</f>
        <v>1</v>
      </c>
      <c r="U22" s="20">
        <f>1 - CUSTOS!$M$28</f>
        <v>1</v>
      </c>
      <c r="V22" s="20">
        <f>1 - CUSTOS!$M$28</f>
        <v>1</v>
      </c>
      <c r="W22" s="20"/>
      <c r="X22" s="20"/>
      <c r="Y22" s="20"/>
      <c r="Z22" s="20">
        <f>1 - CUSTOS!$M$28</f>
        <v>1</v>
      </c>
      <c r="AA22" s="20"/>
      <c r="AB22" s="20"/>
    </row>
    <row r="23" spans="1:28" ht="11.25" customHeight="1" x14ac:dyDescent="0.3">
      <c r="A23" s="102"/>
      <c r="B23" s="22" t="s">
        <v>81</v>
      </c>
      <c r="C23" s="22" t="s">
        <v>40</v>
      </c>
      <c r="D23" s="22" t="s">
        <v>25</v>
      </c>
      <c r="E23" s="22" t="s">
        <v>25</v>
      </c>
      <c r="F23" s="22" t="s">
        <v>25</v>
      </c>
      <c r="G23" s="23" t="s">
        <v>74</v>
      </c>
      <c r="H23" s="23" t="s">
        <v>68</v>
      </c>
      <c r="I23" s="23">
        <f>'MERCADO TE'!$U$20</f>
        <v>5733.0710000000008</v>
      </c>
      <c r="J23" s="15"/>
      <c r="L23" s="20">
        <f>1 - CUSTOS!$M$28</f>
        <v>1</v>
      </c>
      <c r="M23" s="20">
        <f>1 - CUSTOS!$M$28</f>
        <v>1</v>
      </c>
      <c r="N23" s="20">
        <f>1 - CUSTOS!$M$28</f>
        <v>1</v>
      </c>
      <c r="O23" s="20">
        <f>1 - CUSTOS!$M$28</f>
        <v>1</v>
      </c>
      <c r="P23" s="20">
        <f>1 - CUSTOS!$M$28</f>
        <v>1</v>
      </c>
      <c r="Q23" s="20"/>
      <c r="R23" s="20">
        <f>(1 - CUSTOS!$M$28)*1</f>
        <v>1</v>
      </c>
      <c r="S23" s="20"/>
      <c r="T23" s="20">
        <f>1 - CUSTOS!$M$28</f>
        <v>1</v>
      </c>
      <c r="U23" s="20">
        <f>1 - CUSTOS!$M$28</f>
        <v>1</v>
      </c>
      <c r="V23" s="20">
        <f>1 - CUSTOS!$M$28</f>
        <v>1</v>
      </c>
      <c r="W23" s="20"/>
      <c r="X23" s="20"/>
      <c r="Y23" s="20"/>
      <c r="Z23" s="20">
        <f>1 - CUSTOS!$M$28</f>
        <v>1</v>
      </c>
      <c r="AA23" s="20"/>
      <c r="AB23" s="20"/>
    </row>
    <row r="24" spans="1:28" ht="11.25" customHeight="1" x14ac:dyDescent="0.3">
      <c r="A24" s="102"/>
      <c r="B24" s="102" t="s">
        <v>67</v>
      </c>
      <c r="C24" s="102" t="s">
        <v>40</v>
      </c>
      <c r="D24" s="102" t="s">
        <v>85</v>
      </c>
      <c r="E24" s="102" t="s">
        <v>25</v>
      </c>
      <c r="F24" s="102" t="s">
        <v>25</v>
      </c>
      <c r="G24" s="23" t="s">
        <v>69</v>
      </c>
      <c r="H24" s="23" t="s">
        <v>68</v>
      </c>
      <c r="I24" s="23">
        <f>'MERCADO TE'!$U$21</f>
        <v>0</v>
      </c>
      <c r="J24" s="15"/>
      <c r="L24" s="20">
        <f>1 - CUSTOS!$M$29</f>
        <v>1</v>
      </c>
      <c r="M24" s="20">
        <f>1 - CUSTOS!$M$29</f>
        <v>1</v>
      </c>
      <c r="N24" s="20">
        <f>1 - CUSTOS!$M$29</f>
        <v>1</v>
      </c>
      <c r="O24" s="20">
        <f>1 - CUSTOS!$M$29</f>
        <v>1</v>
      </c>
      <c r="P24" s="20">
        <f>1 - CUSTOS!$M$29</f>
        <v>1</v>
      </c>
      <c r="Q24" s="20"/>
      <c r="R24" s="20">
        <f>(1 - CUSTOS!$M$29)*1</f>
        <v>1</v>
      </c>
      <c r="S24" s="20"/>
      <c r="T24" s="20">
        <f>1 - CUSTOS!$M$29</f>
        <v>1</v>
      </c>
      <c r="U24" s="20">
        <f>1 - CUSTOS!$M$29</f>
        <v>1</v>
      </c>
      <c r="V24" s="20">
        <f>1 - CUSTOS!$M$29</f>
        <v>1</v>
      </c>
      <c r="W24" s="20"/>
      <c r="X24" s="20"/>
      <c r="Y24" s="20"/>
      <c r="Z24" s="20">
        <f>1 - CUSTOS!$M$29</f>
        <v>1</v>
      </c>
      <c r="AA24" s="20"/>
      <c r="AB24" s="20"/>
    </row>
    <row r="25" spans="1:28" ht="11.25" customHeight="1" x14ac:dyDescent="0.3">
      <c r="A25" s="102"/>
      <c r="B25" s="102"/>
      <c r="C25" s="102"/>
      <c r="D25" s="102"/>
      <c r="E25" s="102"/>
      <c r="F25" s="102"/>
      <c r="G25" s="23" t="s">
        <v>80</v>
      </c>
      <c r="H25" s="23" t="s">
        <v>68</v>
      </c>
      <c r="I25" s="23">
        <f>'MERCADO TE'!$U$22</f>
        <v>0</v>
      </c>
      <c r="J25" s="15"/>
      <c r="L25" s="20">
        <f>1 - CUSTOS!$M$29</f>
        <v>1</v>
      </c>
      <c r="M25" s="20">
        <f>1 - CUSTOS!$M$29</f>
        <v>1</v>
      </c>
      <c r="N25" s="20">
        <f>1 - CUSTOS!$M$29</f>
        <v>1</v>
      </c>
      <c r="O25" s="20">
        <f>1 - CUSTOS!$M$29</f>
        <v>1</v>
      </c>
      <c r="P25" s="20">
        <f>1 - CUSTOS!$M$29</f>
        <v>1</v>
      </c>
      <c r="Q25" s="20"/>
      <c r="R25" s="20">
        <f>(1 - CUSTOS!$M$29)*1</f>
        <v>1</v>
      </c>
      <c r="S25" s="20"/>
      <c r="T25" s="20">
        <f>1 - CUSTOS!$M$29</f>
        <v>1</v>
      </c>
      <c r="U25" s="20">
        <f>1 - CUSTOS!$M$29</f>
        <v>1</v>
      </c>
      <c r="V25" s="20">
        <f>1 - CUSTOS!$M$29</f>
        <v>1</v>
      </c>
      <c r="W25" s="20"/>
      <c r="X25" s="20"/>
      <c r="Y25" s="20"/>
      <c r="Z25" s="20">
        <f>1 - CUSTOS!$M$29</f>
        <v>1</v>
      </c>
      <c r="AA25" s="20"/>
      <c r="AB25" s="20"/>
    </row>
    <row r="26" spans="1:28" ht="11.25" customHeight="1" x14ac:dyDescent="0.3">
      <c r="A26" s="102"/>
      <c r="B26" s="102"/>
      <c r="C26" s="102"/>
      <c r="D26" s="102"/>
      <c r="E26" s="102"/>
      <c r="F26" s="102"/>
      <c r="G26" s="23" t="s">
        <v>70</v>
      </c>
      <c r="H26" s="23" t="s">
        <v>68</v>
      </c>
      <c r="I26" s="23">
        <f>'MERCADO TE'!$U$23</f>
        <v>0</v>
      </c>
      <c r="J26" s="15"/>
      <c r="L26" s="20">
        <f>1 - CUSTOS!$M$29</f>
        <v>1</v>
      </c>
      <c r="M26" s="20">
        <f>1 - CUSTOS!$M$29</f>
        <v>1</v>
      </c>
      <c r="N26" s="20">
        <f>1 - CUSTOS!$M$29</f>
        <v>1</v>
      </c>
      <c r="O26" s="20">
        <f>1 - CUSTOS!$M$29</f>
        <v>1</v>
      </c>
      <c r="P26" s="20">
        <f>1 - CUSTOS!$M$29</f>
        <v>1</v>
      </c>
      <c r="Q26" s="20"/>
      <c r="R26" s="20">
        <f>(1 - CUSTOS!$M$29)*1</f>
        <v>1</v>
      </c>
      <c r="S26" s="20"/>
      <c r="T26" s="20">
        <f>1 - CUSTOS!$M$29</f>
        <v>1</v>
      </c>
      <c r="U26" s="20">
        <f>1 - CUSTOS!$M$29</f>
        <v>1</v>
      </c>
      <c r="V26" s="20">
        <f>1 - CUSTOS!$M$29</f>
        <v>1</v>
      </c>
      <c r="W26" s="20"/>
      <c r="X26" s="20"/>
      <c r="Y26" s="20"/>
      <c r="Z26" s="20">
        <f>1 - CUSTOS!$M$29</f>
        <v>1</v>
      </c>
      <c r="AA26" s="20"/>
      <c r="AB26" s="20"/>
    </row>
    <row r="27" spans="1:28" ht="11.25" customHeight="1" x14ac:dyDescent="0.3">
      <c r="A27" s="102"/>
      <c r="B27" s="22" t="s">
        <v>81</v>
      </c>
      <c r="C27" s="22" t="s">
        <v>40</v>
      </c>
      <c r="D27" s="22" t="s">
        <v>85</v>
      </c>
      <c r="E27" s="22" t="s">
        <v>25</v>
      </c>
      <c r="F27" s="22" t="s">
        <v>25</v>
      </c>
      <c r="G27" s="23" t="s">
        <v>74</v>
      </c>
      <c r="H27" s="23" t="s">
        <v>68</v>
      </c>
      <c r="I27" s="23">
        <f>'MERCADO TE'!$U$24</f>
        <v>0</v>
      </c>
      <c r="J27" s="15"/>
      <c r="L27" s="20">
        <f>1 - CUSTOS!$M$29</f>
        <v>1</v>
      </c>
      <c r="M27" s="20">
        <f>1 - CUSTOS!$M$29</f>
        <v>1</v>
      </c>
      <c r="N27" s="20">
        <f>1 - CUSTOS!$M$29</f>
        <v>1</v>
      </c>
      <c r="O27" s="20">
        <f>1 - CUSTOS!$M$29</f>
        <v>1</v>
      </c>
      <c r="P27" s="20">
        <f>1 - CUSTOS!$M$29</f>
        <v>1</v>
      </c>
      <c r="Q27" s="20"/>
      <c r="R27" s="20">
        <f>(1 - CUSTOS!$M$29)*1</f>
        <v>1</v>
      </c>
      <c r="S27" s="20"/>
      <c r="T27" s="20">
        <f>1 - CUSTOS!$M$29</f>
        <v>1</v>
      </c>
      <c r="U27" s="20">
        <f>1 - CUSTOS!$M$29</f>
        <v>1</v>
      </c>
      <c r="V27" s="20">
        <f>1 - CUSTOS!$M$29</f>
        <v>1</v>
      </c>
      <c r="W27" s="20"/>
      <c r="X27" s="20"/>
      <c r="Y27" s="20"/>
      <c r="Z27" s="20">
        <f>1 - CUSTOS!$M$29</f>
        <v>1</v>
      </c>
      <c r="AA27" s="20"/>
      <c r="AB27" s="20"/>
    </row>
    <row r="28" spans="1:28" ht="11.25" customHeight="1" x14ac:dyDescent="0.3">
      <c r="A28" s="102"/>
      <c r="B28" s="102" t="s">
        <v>67</v>
      </c>
      <c r="C28" s="102" t="s">
        <v>40</v>
      </c>
      <c r="D28" s="102" t="s">
        <v>86</v>
      </c>
      <c r="E28" s="102" t="s">
        <v>25</v>
      </c>
      <c r="F28" s="102" t="s">
        <v>25</v>
      </c>
      <c r="G28" s="23" t="s">
        <v>69</v>
      </c>
      <c r="H28" s="23" t="s">
        <v>68</v>
      </c>
      <c r="I28" s="23">
        <f>'MERCADO TE'!$U$25</f>
        <v>0</v>
      </c>
      <c r="J28" s="15"/>
      <c r="L28" s="20">
        <f>1 - CUSTOS!$M$30</f>
        <v>1</v>
      </c>
      <c r="M28" s="20">
        <f>1 - CUSTOS!$M$30</f>
        <v>1</v>
      </c>
      <c r="N28" s="20">
        <f>1 - CUSTOS!$M$30</f>
        <v>1</v>
      </c>
      <c r="O28" s="20">
        <f>1 - CUSTOS!$M$30</f>
        <v>1</v>
      </c>
      <c r="P28" s="20">
        <f>1 - CUSTOS!$M$30</f>
        <v>1</v>
      </c>
      <c r="Q28" s="20"/>
      <c r="R28" s="20">
        <f>(1 - CUSTOS!$M$30)*1</f>
        <v>1</v>
      </c>
      <c r="S28" s="20"/>
      <c r="T28" s="20">
        <f>1 - CUSTOS!$M$30</f>
        <v>1</v>
      </c>
      <c r="U28" s="20">
        <f>1 - CUSTOS!$M$30</f>
        <v>1</v>
      </c>
      <c r="V28" s="20">
        <f>1 - CUSTOS!$M$30</f>
        <v>1</v>
      </c>
      <c r="W28" s="20"/>
      <c r="X28" s="20"/>
      <c r="Y28" s="20"/>
      <c r="Z28" s="20">
        <f>1 - CUSTOS!$M$30</f>
        <v>1</v>
      </c>
      <c r="AA28" s="20"/>
      <c r="AB28" s="20"/>
    </row>
    <row r="29" spans="1:28" ht="11.25" customHeight="1" x14ac:dyDescent="0.3">
      <c r="A29" s="102"/>
      <c r="B29" s="102"/>
      <c r="C29" s="102"/>
      <c r="D29" s="102"/>
      <c r="E29" s="102"/>
      <c r="F29" s="102"/>
      <c r="G29" s="23" t="s">
        <v>80</v>
      </c>
      <c r="H29" s="23" t="s">
        <v>68</v>
      </c>
      <c r="I29" s="23">
        <f>'MERCADO TE'!$U$26</f>
        <v>0</v>
      </c>
      <c r="J29" s="15"/>
      <c r="L29" s="20">
        <f>1 - CUSTOS!$M$30</f>
        <v>1</v>
      </c>
      <c r="M29" s="20">
        <f>1 - CUSTOS!$M$30</f>
        <v>1</v>
      </c>
      <c r="N29" s="20">
        <f>1 - CUSTOS!$M$30</f>
        <v>1</v>
      </c>
      <c r="O29" s="20">
        <f>1 - CUSTOS!$M$30</f>
        <v>1</v>
      </c>
      <c r="P29" s="20">
        <f>1 - CUSTOS!$M$30</f>
        <v>1</v>
      </c>
      <c r="Q29" s="20"/>
      <c r="R29" s="20">
        <f>(1 - CUSTOS!$M$30)*1</f>
        <v>1</v>
      </c>
      <c r="S29" s="20"/>
      <c r="T29" s="20">
        <f>1 - CUSTOS!$M$30</f>
        <v>1</v>
      </c>
      <c r="U29" s="20">
        <f>1 - CUSTOS!$M$30</f>
        <v>1</v>
      </c>
      <c r="V29" s="20">
        <f>1 - CUSTOS!$M$30</f>
        <v>1</v>
      </c>
      <c r="W29" s="20"/>
      <c r="X29" s="20"/>
      <c r="Y29" s="20"/>
      <c r="Z29" s="20">
        <f>1 - CUSTOS!$M$30</f>
        <v>1</v>
      </c>
      <c r="AA29" s="20"/>
      <c r="AB29" s="20"/>
    </row>
    <row r="30" spans="1:28" ht="11.25" customHeight="1" x14ac:dyDescent="0.3">
      <c r="A30" s="102"/>
      <c r="B30" s="102"/>
      <c r="C30" s="102"/>
      <c r="D30" s="102"/>
      <c r="E30" s="102"/>
      <c r="F30" s="102"/>
      <c r="G30" s="23" t="s">
        <v>70</v>
      </c>
      <c r="H30" s="23" t="s">
        <v>68</v>
      </c>
      <c r="I30" s="23">
        <f>'MERCADO TE'!$U$27</f>
        <v>0</v>
      </c>
      <c r="J30" s="15"/>
      <c r="L30" s="20">
        <f>1 - CUSTOS!$M$30</f>
        <v>1</v>
      </c>
      <c r="M30" s="20">
        <f>1 - CUSTOS!$M$30</f>
        <v>1</v>
      </c>
      <c r="N30" s="20">
        <f>1 - CUSTOS!$M$30</f>
        <v>1</v>
      </c>
      <c r="O30" s="20">
        <f>1 - CUSTOS!$M$30</f>
        <v>1</v>
      </c>
      <c r="P30" s="20">
        <f>1 - CUSTOS!$M$30</f>
        <v>1</v>
      </c>
      <c r="Q30" s="20"/>
      <c r="R30" s="20">
        <f>(1 - CUSTOS!$M$30)*1</f>
        <v>1</v>
      </c>
      <c r="S30" s="20"/>
      <c r="T30" s="20">
        <f>1 - CUSTOS!$M$30</f>
        <v>1</v>
      </c>
      <c r="U30" s="20">
        <f>1 - CUSTOS!$M$30</f>
        <v>1</v>
      </c>
      <c r="V30" s="20">
        <f>1 - CUSTOS!$M$30</f>
        <v>1</v>
      </c>
      <c r="W30" s="20"/>
      <c r="X30" s="20"/>
      <c r="Y30" s="20"/>
      <c r="Z30" s="20">
        <f>1 - CUSTOS!$M$30</f>
        <v>1</v>
      </c>
      <c r="AA30" s="20"/>
      <c r="AB30" s="20"/>
    </row>
    <row r="31" spans="1:28" ht="11.25" customHeight="1" x14ac:dyDescent="0.3">
      <c r="A31" s="102"/>
      <c r="B31" s="22" t="s">
        <v>81</v>
      </c>
      <c r="C31" s="22" t="s">
        <v>40</v>
      </c>
      <c r="D31" s="22" t="s">
        <v>86</v>
      </c>
      <c r="E31" s="22" t="s">
        <v>25</v>
      </c>
      <c r="F31" s="22" t="s">
        <v>25</v>
      </c>
      <c r="G31" s="23" t="s">
        <v>74</v>
      </c>
      <c r="H31" s="23" t="s">
        <v>68</v>
      </c>
      <c r="I31" s="23">
        <f>'MERCADO TE'!$U$28</f>
        <v>0</v>
      </c>
      <c r="J31" s="15"/>
      <c r="L31" s="20">
        <f>1 - CUSTOS!$M$30</f>
        <v>1</v>
      </c>
      <c r="M31" s="20">
        <f>1 - CUSTOS!$M$30</f>
        <v>1</v>
      </c>
      <c r="N31" s="20">
        <f>1 - CUSTOS!$M$30</f>
        <v>1</v>
      </c>
      <c r="O31" s="20">
        <f>1 - CUSTOS!$M$30</f>
        <v>1</v>
      </c>
      <c r="P31" s="20">
        <f>1 - CUSTOS!$M$30</f>
        <v>1</v>
      </c>
      <c r="Q31" s="20"/>
      <c r="R31" s="20">
        <f>(1 - CUSTOS!$M$30)*1</f>
        <v>1</v>
      </c>
      <c r="S31" s="20"/>
      <c r="T31" s="20">
        <f>1 - CUSTOS!$M$30</f>
        <v>1</v>
      </c>
      <c r="U31" s="20">
        <f>1 - CUSTOS!$M$30</f>
        <v>1</v>
      </c>
      <c r="V31" s="20">
        <f>1 - CUSTOS!$M$30</f>
        <v>1</v>
      </c>
      <c r="W31" s="20"/>
      <c r="X31" s="20"/>
      <c r="Y31" s="20"/>
      <c r="Z31" s="20">
        <f>1 - CUSTOS!$M$30</f>
        <v>1</v>
      </c>
      <c r="AA31" s="20"/>
      <c r="AB31" s="20"/>
    </row>
    <row r="32" spans="1:28" ht="11.25" customHeight="1" x14ac:dyDescent="0.3">
      <c r="A32" s="102"/>
      <c r="B32" s="102" t="s">
        <v>83</v>
      </c>
      <c r="C32" s="102" t="s">
        <v>40</v>
      </c>
      <c r="D32" s="22" t="s">
        <v>25</v>
      </c>
      <c r="E32" s="22" t="s">
        <v>25</v>
      </c>
      <c r="F32" s="22" t="s">
        <v>25</v>
      </c>
      <c r="G32" s="23" t="s">
        <v>74</v>
      </c>
      <c r="H32" s="23" t="s">
        <v>68</v>
      </c>
      <c r="I32" s="23">
        <f>'MERCADO TE'!$U$29</f>
        <v>0</v>
      </c>
      <c r="J32" s="15"/>
      <c r="L32" s="20">
        <f>1 - CUSTOS!$M$28</f>
        <v>1</v>
      </c>
      <c r="M32" s="20">
        <f>1 - CUSTOS!$M$28</f>
        <v>1</v>
      </c>
      <c r="N32" s="20">
        <f>1 - CUSTOS!$M$28</f>
        <v>1</v>
      </c>
      <c r="O32" s="20">
        <f>1 - CUSTOS!$M$28</f>
        <v>1</v>
      </c>
      <c r="P32" s="20">
        <f>1 - CUSTOS!$M$28</f>
        <v>1</v>
      </c>
      <c r="Q32" s="20"/>
      <c r="R32" s="20">
        <f>(1 - CUSTOS!$M$28)*1</f>
        <v>1</v>
      </c>
      <c r="S32" s="20"/>
      <c r="T32" s="20">
        <f>1 - CUSTOS!$M$28</f>
        <v>1</v>
      </c>
      <c r="U32" s="20">
        <f>1 - CUSTOS!$M$28</f>
        <v>1</v>
      </c>
      <c r="V32" s="20">
        <f>1 - CUSTOS!$M$28</f>
        <v>1</v>
      </c>
      <c r="W32" s="20"/>
      <c r="X32" s="20"/>
      <c r="Y32" s="20"/>
      <c r="Z32" s="20">
        <f>1 - CUSTOS!$M$28</f>
        <v>1</v>
      </c>
      <c r="AA32" s="20"/>
      <c r="AB32" s="20"/>
    </row>
    <row r="33" spans="1:28" ht="11.25" customHeight="1" x14ac:dyDescent="0.3">
      <c r="A33" s="102"/>
      <c r="B33" s="102"/>
      <c r="C33" s="102"/>
      <c r="D33" s="22" t="s">
        <v>85</v>
      </c>
      <c r="E33" s="22" t="s">
        <v>25</v>
      </c>
      <c r="F33" s="22" t="s">
        <v>25</v>
      </c>
      <c r="G33" s="23" t="s">
        <v>74</v>
      </c>
      <c r="H33" s="23" t="s">
        <v>68</v>
      </c>
      <c r="I33" s="23">
        <f>'MERCADO TE'!$U$30</f>
        <v>0</v>
      </c>
      <c r="J33" s="15"/>
      <c r="L33" s="20">
        <f>1 - CUSTOS!$M$29</f>
        <v>1</v>
      </c>
      <c r="M33" s="20">
        <f>1 - CUSTOS!$M$29</f>
        <v>1</v>
      </c>
      <c r="N33" s="20">
        <f>1 - CUSTOS!$M$29</f>
        <v>1</v>
      </c>
      <c r="O33" s="20">
        <f>1 - CUSTOS!$M$29</f>
        <v>1</v>
      </c>
      <c r="P33" s="20">
        <f>1 - CUSTOS!$M$29</f>
        <v>1</v>
      </c>
      <c r="Q33" s="20"/>
      <c r="R33" s="20">
        <f>(1 - CUSTOS!$M$29)*1</f>
        <v>1</v>
      </c>
      <c r="S33" s="20"/>
      <c r="T33" s="20">
        <f>1 - CUSTOS!$M$29</f>
        <v>1</v>
      </c>
      <c r="U33" s="20">
        <f>1 - CUSTOS!$M$29</f>
        <v>1</v>
      </c>
      <c r="V33" s="20">
        <f>1 - CUSTOS!$M$29</f>
        <v>1</v>
      </c>
      <c r="W33" s="20"/>
      <c r="X33" s="20"/>
      <c r="Y33" s="20"/>
      <c r="Z33" s="20">
        <f>1 - CUSTOS!$M$29</f>
        <v>1</v>
      </c>
      <c r="AA33" s="20"/>
      <c r="AB33" s="20"/>
    </row>
    <row r="34" spans="1:28" ht="11.25" customHeight="1" x14ac:dyDescent="0.3">
      <c r="A34" s="102"/>
      <c r="B34" s="102"/>
      <c r="C34" s="102"/>
      <c r="D34" s="22" t="s">
        <v>86</v>
      </c>
      <c r="E34" s="22" t="s">
        <v>25</v>
      </c>
      <c r="F34" s="22" t="s">
        <v>25</v>
      </c>
      <c r="G34" s="23" t="s">
        <v>74</v>
      </c>
      <c r="H34" s="23" t="s">
        <v>68</v>
      </c>
      <c r="I34" s="23">
        <f>'MERCADO TE'!$U$31</f>
        <v>0</v>
      </c>
      <c r="J34" s="15"/>
      <c r="L34" s="20">
        <f>1 - CUSTOS!$M$30</f>
        <v>1</v>
      </c>
      <c r="M34" s="20">
        <f>1 - CUSTOS!$M$30</f>
        <v>1</v>
      </c>
      <c r="N34" s="20">
        <f>1 - CUSTOS!$M$30</f>
        <v>1</v>
      </c>
      <c r="O34" s="20">
        <f>1 - CUSTOS!$M$30</f>
        <v>1</v>
      </c>
      <c r="P34" s="20">
        <f>1 - CUSTOS!$M$30</f>
        <v>1</v>
      </c>
      <c r="Q34" s="20"/>
      <c r="R34" s="20">
        <f>(1 - CUSTOS!$M$30)*1</f>
        <v>1</v>
      </c>
      <c r="S34" s="20"/>
      <c r="T34" s="20">
        <f>1 - CUSTOS!$M$30</f>
        <v>1</v>
      </c>
      <c r="U34" s="20">
        <f>1 - CUSTOS!$M$30</f>
        <v>1</v>
      </c>
      <c r="V34" s="20">
        <f>1 - CUSTOS!$M$30</f>
        <v>1</v>
      </c>
      <c r="W34" s="20"/>
      <c r="X34" s="20"/>
      <c r="Y34" s="20"/>
      <c r="Z34" s="20">
        <f>1 - CUSTOS!$M$30</f>
        <v>1</v>
      </c>
      <c r="AA34" s="20"/>
      <c r="AB34" s="20"/>
    </row>
    <row r="35" spans="1:28" ht="11.25" customHeight="1" x14ac:dyDescent="0.3">
      <c r="A35" s="102" t="s">
        <v>31</v>
      </c>
      <c r="B35" s="102" t="s">
        <v>67</v>
      </c>
      <c r="C35" s="102" t="s">
        <v>25</v>
      </c>
      <c r="D35" s="102" t="s">
        <v>25</v>
      </c>
      <c r="E35" s="102" t="s">
        <v>25</v>
      </c>
      <c r="F35" s="102" t="s">
        <v>25</v>
      </c>
      <c r="G35" s="23" t="s">
        <v>69</v>
      </c>
      <c r="H35" s="23" t="s">
        <v>68</v>
      </c>
      <c r="I35" s="23">
        <f>'MERCADO TE'!$U$32</f>
        <v>0</v>
      </c>
      <c r="J35" s="15"/>
      <c r="L35" s="20">
        <f>1 - CUSTOS!$M$31</f>
        <v>1</v>
      </c>
      <c r="M35" s="20">
        <f>1 - CUSTOS!$M$31</f>
        <v>1</v>
      </c>
      <c r="N35" s="20">
        <f>1 - CUSTOS!$M$31</f>
        <v>1</v>
      </c>
      <c r="O35" s="20">
        <f>1 - CUSTOS!$M$31</f>
        <v>1</v>
      </c>
      <c r="P35" s="20">
        <f>1 - CUSTOS!$M$31</f>
        <v>1</v>
      </c>
      <c r="Q35" s="20"/>
      <c r="R35" s="20">
        <f>(1 - CUSTOS!$M$31)*1</f>
        <v>1</v>
      </c>
      <c r="S35" s="20"/>
      <c r="T35" s="20">
        <f>1 - CUSTOS!$M$31</f>
        <v>1</v>
      </c>
      <c r="U35" s="20">
        <f>1 - CUSTOS!$M$31</f>
        <v>1</v>
      </c>
      <c r="V35" s="20">
        <f>1 - CUSTOS!$M$31</f>
        <v>1</v>
      </c>
      <c r="W35" s="20"/>
      <c r="X35" s="20"/>
      <c r="Y35" s="20"/>
      <c r="Z35" s="20">
        <f>1 - CUSTOS!$M$31</f>
        <v>1</v>
      </c>
      <c r="AA35" s="20"/>
      <c r="AB35" s="20"/>
    </row>
    <row r="36" spans="1:28" ht="11.25" customHeight="1" x14ac:dyDescent="0.3">
      <c r="A36" s="102"/>
      <c r="B36" s="102"/>
      <c r="C36" s="102"/>
      <c r="D36" s="102"/>
      <c r="E36" s="102"/>
      <c r="F36" s="102"/>
      <c r="G36" s="23" t="s">
        <v>80</v>
      </c>
      <c r="H36" s="23" t="s">
        <v>68</v>
      </c>
      <c r="I36" s="23">
        <f>'MERCADO TE'!$U$33</f>
        <v>0</v>
      </c>
      <c r="J36" s="15"/>
      <c r="L36" s="20">
        <f>1 - CUSTOS!$M$31</f>
        <v>1</v>
      </c>
      <c r="M36" s="20">
        <f>1 - CUSTOS!$M$31</f>
        <v>1</v>
      </c>
      <c r="N36" s="20">
        <f>1 - CUSTOS!$M$31</f>
        <v>1</v>
      </c>
      <c r="O36" s="20">
        <f>1 - CUSTOS!$M$31</f>
        <v>1</v>
      </c>
      <c r="P36" s="20">
        <f>1 - CUSTOS!$M$31</f>
        <v>1</v>
      </c>
      <c r="Q36" s="20"/>
      <c r="R36" s="20">
        <f>(1 - CUSTOS!$M$31)*1</f>
        <v>1</v>
      </c>
      <c r="S36" s="20"/>
      <c r="T36" s="20">
        <f>1 - CUSTOS!$M$31</f>
        <v>1</v>
      </c>
      <c r="U36" s="20">
        <f>1 - CUSTOS!$M$31</f>
        <v>1</v>
      </c>
      <c r="V36" s="20">
        <f>1 - CUSTOS!$M$31</f>
        <v>1</v>
      </c>
      <c r="W36" s="20"/>
      <c r="X36" s="20"/>
      <c r="Y36" s="20"/>
      <c r="Z36" s="20">
        <f>1 - CUSTOS!$M$31</f>
        <v>1</v>
      </c>
      <c r="AA36" s="20"/>
      <c r="AB36" s="20"/>
    </row>
    <row r="37" spans="1:28" ht="11.25" customHeight="1" x14ac:dyDescent="0.3">
      <c r="A37" s="102"/>
      <c r="B37" s="102"/>
      <c r="C37" s="102"/>
      <c r="D37" s="102"/>
      <c r="E37" s="102"/>
      <c r="F37" s="102"/>
      <c r="G37" s="23" t="s">
        <v>70</v>
      </c>
      <c r="H37" s="23" t="s">
        <v>68</v>
      </c>
      <c r="I37" s="23">
        <f>'MERCADO TE'!$U$34</f>
        <v>0</v>
      </c>
      <c r="J37" s="15"/>
      <c r="L37" s="20">
        <f>1 - CUSTOS!$M$31</f>
        <v>1</v>
      </c>
      <c r="M37" s="20">
        <f>1 - CUSTOS!$M$31</f>
        <v>1</v>
      </c>
      <c r="N37" s="20">
        <f>1 - CUSTOS!$M$31</f>
        <v>1</v>
      </c>
      <c r="O37" s="20">
        <f>1 - CUSTOS!$M$31</f>
        <v>1</v>
      </c>
      <c r="P37" s="20">
        <f>1 - CUSTOS!$M$31</f>
        <v>1</v>
      </c>
      <c r="Q37" s="20"/>
      <c r="R37" s="20">
        <f>(1 - CUSTOS!$M$31)*1</f>
        <v>1</v>
      </c>
      <c r="S37" s="20"/>
      <c r="T37" s="20">
        <f>1 - CUSTOS!$M$31</f>
        <v>1</v>
      </c>
      <c r="U37" s="20">
        <f>1 - CUSTOS!$M$31</f>
        <v>1</v>
      </c>
      <c r="V37" s="20">
        <f>1 - CUSTOS!$M$31</f>
        <v>1</v>
      </c>
      <c r="W37" s="20"/>
      <c r="X37" s="20"/>
      <c r="Y37" s="20"/>
      <c r="Z37" s="20">
        <f>1 - CUSTOS!$M$31</f>
        <v>1</v>
      </c>
      <c r="AA37" s="20"/>
      <c r="AB37" s="20"/>
    </row>
    <row r="38" spans="1:28" ht="11.25" customHeight="1" x14ac:dyDescent="0.3">
      <c r="A38" s="102"/>
      <c r="B38" s="22" t="s">
        <v>81</v>
      </c>
      <c r="C38" s="22" t="s">
        <v>25</v>
      </c>
      <c r="D38" s="22" t="s">
        <v>25</v>
      </c>
      <c r="E38" s="22" t="s">
        <v>25</v>
      </c>
      <c r="F38" s="22" t="s">
        <v>25</v>
      </c>
      <c r="G38" s="23" t="s">
        <v>74</v>
      </c>
      <c r="H38" s="23" t="s">
        <v>68</v>
      </c>
      <c r="I38" s="23">
        <f>'MERCADO TE'!$U$35</f>
        <v>321.71000000000004</v>
      </c>
      <c r="J38" s="15"/>
      <c r="L38" s="20">
        <f>1 - CUSTOS!$M$31</f>
        <v>1</v>
      </c>
      <c r="M38" s="20">
        <f>1 - CUSTOS!$M$31</f>
        <v>1</v>
      </c>
      <c r="N38" s="20">
        <f>1 - CUSTOS!$M$31</f>
        <v>1</v>
      </c>
      <c r="O38" s="20">
        <f>1 - CUSTOS!$M$31</f>
        <v>1</v>
      </c>
      <c r="P38" s="20">
        <f>1 - CUSTOS!$M$31</f>
        <v>1</v>
      </c>
      <c r="Q38" s="20"/>
      <c r="R38" s="20">
        <f>(1 - CUSTOS!$M$31)*1</f>
        <v>1</v>
      </c>
      <c r="S38" s="20"/>
      <c r="T38" s="20">
        <f>1 - CUSTOS!$M$31</f>
        <v>1</v>
      </c>
      <c r="U38" s="20">
        <f>1 - CUSTOS!$M$31</f>
        <v>1</v>
      </c>
      <c r="V38" s="20">
        <f>1 - CUSTOS!$M$31</f>
        <v>1</v>
      </c>
      <c r="W38" s="20"/>
      <c r="X38" s="20"/>
      <c r="Y38" s="20"/>
      <c r="Z38" s="20">
        <f>1 - CUSTOS!$M$31</f>
        <v>1</v>
      </c>
      <c r="AA38" s="20"/>
      <c r="AB38" s="20"/>
    </row>
    <row r="39" spans="1:28" ht="11.25" customHeight="1" x14ac:dyDescent="0.3">
      <c r="A39" s="102"/>
      <c r="B39" s="22" t="s">
        <v>83</v>
      </c>
      <c r="C39" s="22" t="s">
        <v>25</v>
      </c>
      <c r="D39" s="22" t="s">
        <v>25</v>
      </c>
      <c r="E39" s="22" t="s">
        <v>25</v>
      </c>
      <c r="F39" s="22" t="s">
        <v>25</v>
      </c>
      <c r="G39" s="23" t="s">
        <v>74</v>
      </c>
      <c r="H39" s="23" t="s">
        <v>68</v>
      </c>
      <c r="I39" s="23">
        <f>'MERCADO TE'!$U$36</f>
        <v>0</v>
      </c>
      <c r="J39" s="15"/>
      <c r="L39" s="20">
        <f>1 - CUSTOS!$M$31</f>
        <v>1</v>
      </c>
      <c r="M39" s="20">
        <f>1 - CUSTOS!$M$31</f>
        <v>1</v>
      </c>
      <c r="N39" s="20">
        <f>1 - CUSTOS!$M$31</f>
        <v>1</v>
      </c>
      <c r="O39" s="20">
        <f>1 - CUSTOS!$M$31</f>
        <v>1</v>
      </c>
      <c r="P39" s="20">
        <f>1 - CUSTOS!$M$31</f>
        <v>1</v>
      </c>
      <c r="Q39" s="20"/>
      <c r="R39" s="20">
        <f>(1 - CUSTOS!$M$31)*1</f>
        <v>1</v>
      </c>
      <c r="S39" s="20"/>
      <c r="T39" s="20">
        <f>1 - CUSTOS!$M$31</f>
        <v>1</v>
      </c>
      <c r="U39" s="20">
        <f>1 - CUSTOS!$M$31</f>
        <v>1</v>
      </c>
      <c r="V39" s="20">
        <f>1 - CUSTOS!$M$31</f>
        <v>1</v>
      </c>
      <c r="W39" s="20"/>
      <c r="X39" s="20"/>
      <c r="Y39" s="20"/>
      <c r="Z39" s="20">
        <f>1 - CUSTOS!$M$31</f>
        <v>1</v>
      </c>
      <c r="AA39" s="20"/>
      <c r="AB39" s="20"/>
    </row>
    <row r="40" spans="1:28" ht="11.25" customHeight="1" x14ac:dyDescent="0.3">
      <c r="A40" s="102" t="s">
        <v>43</v>
      </c>
      <c r="B40" s="102" t="s">
        <v>81</v>
      </c>
      <c r="C40" s="102" t="s">
        <v>44</v>
      </c>
      <c r="D40" s="22" t="s">
        <v>45</v>
      </c>
      <c r="E40" s="22" t="s">
        <v>25</v>
      </c>
      <c r="F40" s="22" t="s">
        <v>25</v>
      </c>
      <c r="G40" s="23" t="s">
        <v>74</v>
      </c>
      <c r="H40" s="23" t="s">
        <v>68</v>
      </c>
      <c r="I40" s="23">
        <f>'MERCADO TE'!$U$37</f>
        <v>249.66400000000002</v>
      </c>
      <c r="J40" s="15"/>
      <c r="L40" s="20">
        <f>1 - CUSTOS!$M$32</f>
        <v>0.55000000000000004</v>
      </c>
      <c r="M40" s="20">
        <f>1 - CUSTOS!$M$32</f>
        <v>0.55000000000000004</v>
      </c>
      <c r="N40" s="20">
        <f>1 - CUSTOS!$M$32</f>
        <v>0.55000000000000004</v>
      </c>
      <c r="O40" s="20">
        <f>1 - CUSTOS!$M$32</f>
        <v>0.55000000000000004</v>
      </c>
      <c r="P40" s="20">
        <f>1 - CUSTOS!$M$32</f>
        <v>0.55000000000000004</v>
      </c>
      <c r="Q40" s="20"/>
      <c r="R40" s="20">
        <f>(1 - CUSTOS!$M$32)*1</f>
        <v>0.55000000000000004</v>
      </c>
      <c r="S40" s="20"/>
      <c r="T40" s="20">
        <f>1 - CUSTOS!$M$32</f>
        <v>0.55000000000000004</v>
      </c>
      <c r="U40" s="20">
        <f>1 - CUSTOS!$M$32</f>
        <v>0.55000000000000004</v>
      </c>
      <c r="V40" s="20">
        <f>1 - CUSTOS!$M$32</f>
        <v>0.55000000000000004</v>
      </c>
      <c r="W40" s="20"/>
      <c r="X40" s="20"/>
      <c r="Y40" s="20"/>
      <c r="Z40" s="20">
        <f>1 - CUSTOS!$M$32</f>
        <v>0.55000000000000004</v>
      </c>
      <c r="AA40" s="20"/>
      <c r="AB40" s="20"/>
    </row>
    <row r="41" spans="1:28" ht="11.25" customHeight="1" x14ac:dyDescent="0.3">
      <c r="A41" s="102"/>
      <c r="B41" s="102"/>
      <c r="C41" s="102"/>
      <c r="D41" s="23" t="s">
        <v>87</v>
      </c>
      <c r="E41" s="23" t="s">
        <v>25</v>
      </c>
      <c r="F41" s="23" t="s">
        <v>25</v>
      </c>
      <c r="G41" s="23" t="s">
        <v>74</v>
      </c>
      <c r="H41" s="23" t="s">
        <v>68</v>
      </c>
      <c r="I41" s="23">
        <f>'MERCADO TE'!$U$38</f>
        <v>0</v>
      </c>
      <c r="J41" s="15"/>
      <c r="L41" s="20">
        <f>1 - CUSTOS!$M$33</f>
        <v>0.6</v>
      </c>
      <c r="M41" s="20">
        <f>1 - CUSTOS!$M$33</f>
        <v>0.6</v>
      </c>
      <c r="N41" s="20">
        <f>1 - CUSTOS!$M$33</f>
        <v>0.6</v>
      </c>
      <c r="O41" s="20">
        <f>1 - CUSTOS!$M$33</f>
        <v>0.6</v>
      </c>
      <c r="P41" s="20">
        <f>1 - CUSTOS!$M$33</f>
        <v>0.6</v>
      </c>
      <c r="Q41" s="20"/>
      <c r="R41" s="20">
        <f>(1 - CUSTOS!$M$33)*1</f>
        <v>0.6</v>
      </c>
      <c r="S41" s="20"/>
      <c r="T41" s="20">
        <f>1 - CUSTOS!$M$33</f>
        <v>0.6</v>
      </c>
      <c r="U41" s="20">
        <f>1 - CUSTOS!$M$33</f>
        <v>0.6</v>
      </c>
      <c r="V41" s="20">
        <f>1 - CUSTOS!$M$33</f>
        <v>0.6</v>
      </c>
      <c r="W41" s="20"/>
      <c r="X41" s="20"/>
      <c r="Y41" s="20"/>
      <c r="Z41" s="20">
        <f>1 - CUSTOS!$M$33</f>
        <v>0.6</v>
      </c>
      <c r="AA41" s="20"/>
      <c r="AB41" s="20"/>
    </row>
    <row r="43" spans="1:28" ht="11.25" customHeight="1" x14ac:dyDescent="0.3">
      <c r="K43" s="25" t="s">
        <v>490</v>
      </c>
      <c r="L43" s="20">
        <f t="shared" ref="L43:AB43" si="0">SUMPRODUCT($I$5:$I$41,L$5:L$41)</f>
        <v>17898.584200000001</v>
      </c>
      <c r="M43" s="20">
        <f t="shared" si="0"/>
        <v>17898.584200000001</v>
      </c>
      <c r="N43" s="20">
        <f t="shared" si="0"/>
        <v>17898.584200000001</v>
      </c>
      <c r="O43" s="20">
        <f t="shared" si="0"/>
        <v>17898.584200000001</v>
      </c>
      <c r="P43" s="20">
        <f t="shared" si="0"/>
        <v>17898.584200000001</v>
      </c>
      <c r="Q43" s="20">
        <f t="shared" si="0"/>
        <v>0</v>
      </c>
      <c r="R43" s="20">
        <f t="shared" si="0"/>
        <v>17898.584200000001</v>
      </c>
      <c r="S43" s="20">
        <f t="shared" si="0"/>
        <v>0</v>
      </c>
      <c r="T43" s="20">
        <f t="shared" si="0"/>
        <v>17898.584200000001</v>
      </c>
      <c r="U43" s="20">
        <f t="shared" si="0"/>
        <v>17898.584200000001</v>
      </c>
      <c r="V43" s="20">
        <f t="shared" si="0"/>
        <v>17898.584200000001</v>
      </c>
      <c r="W43" s="20">
        <f t="shared" si="0"/>
        <v>0</v>
      </c>
      <c r="X43" s="20">
        <f t="shared" si="0"/>
        <v>0</v>
      </c>
      <c r="Y43" s="20">
        <f t="shared" si="0"/>
        <v>0</v>
      </c>
      <c r="Z43" s="20">
        <f t="shared" si="0"/>
        <v>17898.584200000001</v>
      </c>
      <c r="AA43" s="20">
        <f t="shared" si="0"/>
        <v>0</v>
      </c>
      <c r="AB43" s="20">
        <f t="shared" si="0"/>
        <v>0</v>
      </c>
    </row>
    <row r="44" spans="1:28" ht="11.25" customHeight="1" x14ac:dyDescent="0.3">
      <c r="K44" s="25" t="s">
        <v>409</v>
      </c>
      <c r="L44" s="20">
        <f>CUSTOS!$D$30</f>
        <v>0</v>
      </c>
      <c r="M44" s="20">
        <f>CUSTOS!$D$31</f>
        <v>286370.12</v>
      </c>
      <c r="N44" s="20">
        <f>CUSTOS!$D$32</f>
        <v>0</v>
      </c>
      <c r="O44" s="20">
        <f>CUSTOS!$D$33</f>
        <v>0</v>
      </c>
      <c r="P44" s="20">
        <f>CUSTOS!$D$34</f>
        <v>0</v>
      </c>
      <c r="Q44" s="20">
        <f>CUSTOS!$D$35</f>
        <v>286370.12</v>
      </c>
      <c r="R44" s="20">
        <f>CUSTOS!$D$36</f>
        <v>3436906.3383104918</v>
      </c>
      <c r="S44" s="20">
        <f>CUSTOS!$D$37</f>
        <v>3436906.3383104918</v>
      </c>
      <c r="T44" s="20">
        <f>CUSTOS!$D$38</f>
        <v>0</v>
      </c>
      <c r="U44" s="20">
        <f>CUSTOS!$D$39</f>
        <v>0</v>
      </c>
      <c r="V44" s="20">
        <f>CUSTOS!$D$40</f>
        <v>0</v>
      </c>
      <c r="W44" s="20">
        <f>CUSTOS!$D$41</f>
        <v>0</v>
      </c>
      <c r="X44" s="20">
        <f>CUSTOS!$D$42</f>
        <v>0</v>
      </c>
      <c r="Y44" s="20">
        <f>CUSTOS!$D$43</f>
        <v>0</v>
      </c>
      <c r="Z44" s="20">
        <f>CUSTOS!$D$44</f>
        <v>0</v>
      </c>
      <c r="AA44" s="20">
        <f>CUSTOS!$D$45</f>
        <v>0</v>
      </c>
      <c r="AB44" s="20">
        <f>CUSTOS!$D$46</f>
        <v>3723276.4583104919</v>
      </c>
    </row>
    <row r="45" spans="1:28" ht="11.25" customHeight="1" x14ac:dyDescent="0.3">
      <c r="K45" s="25" t="s">
        <v>410</v>
      </c>
      <c r="L45" s="20">
        <f>CUSTOS!$E$30</f>
        <v>0</v>
      </c>
      <c r="M45" s="20">
        <f>CUSTOS!$E$31</f>
        <v>0</v>
      </c>
      <c r="N45" s="20">
        <f>CUSTOS!$E$32</f>
        <v>0</v>
      </c>
      <c r="O45" s="20">
        <f>CUSTOS!$E$33</f>
        <v>0</v>
      </c>
      <c r="P45" s="20">
        <f>CUSTOS!$E$34</f>
        <v>0</v>
      </c>
      <c r="Q45" s="20">
        <f>CUSTOS!$E$35</f>
        <v>0</v>
      </c>
      <c r="R45" s="20">
        <f>CUSTOS!$E$36</f>
        <v>246488.21645955983</v>
      </c>
      <c r="S45" s="20">
        <f>CUSTOS!$E$37</f>
        <v>246488.21645955983</v>
      </c>
      <c r="T45" s="20">
        <f>CUSTOS!$E$38</f>
        <v>0</v>
      </c>
      <c r="U45" s="20">
        <f>CUSTOS!$E$39</f>
        <v>0</v>
      </c>
      <c r="V45" s="20">
        <f>CUSTOS!$E$40</f>
        <v>0</v>
      </c>
      <c r="W45" s="20">
        <f>CUSTOS!$E$41</f>
        <v>0</v>
      </c>
      <c r="X45" s="20">
        <f>CUSTOS!$E$42</f>
        <v>0</v>
      </c>
      <c r="Y45" s="20">
        <f>CUSTOS!$E$43</f>
        <v>0</v>
      </c>
      <c r="Z45" s="20">
        <f>CUSTOS!$E$44</f>
        <v>0</v>
      </c>
      <c r="AA45" s="20">
        <f>CUSTOS!$E$45</f>
        <v>0</v>
      </c>
      <c r="AB45" s="20">
        <f>CUSTOS!$E$46</f>
        <v>246488.21645955983</v>
      </c>
    </row>
    <row r="46" spans="1:28" ht="11.25" customHeight="1" x14ac:dyDescent="0.3">
      <c r="K46" s="25" t="s">
        <v>411</v>
      </c>
      <c r="L46" s="20">
        <f>CUSTOS!$F$30</f>
        <v>0</v>
      </c>
      <c r="M46" s="20">
        <f>CUSTOS!$F$31</f>
        <v>0</v>
      </c>
      <c r="N46" s="20">
        <f>CUSTOS!$F$32</f>
        <v>0</v>
      </c>
      <c r="O46" s="20">
        <f>CUSTOS!$F$33</f>
        <v>0</v>
      </c>
      <c r="P46" s="20">
        <f>CUSTOS!$F$34</f>
        <v>0</v>
      </c>
      <c r="Q46" s="20">
        <f>CUSTOS!$F$35</f>
        <v>0</v>
      </c>
      <c r="R46" s="20">
        <f>CUSTOS!$F$36</f>
        <v>0</v>
      </c>
      <c r="S46" s="20">
        <f>CUSTOS!$F$37</f>
        <v>0</v>
      </c>
      <c r="T46" s="20">
        <f>CUSTOS!$F$38</f>
        <v>0</v>
      </c>
      <c r="U46" s="20">
        <f>CUSTOS!$F$39</f>
        <v>0</v>
      </c>
      <c r="V46" s="20">
        <f>CUSTOS!$F$40</f>
        <v>0</v>
      </c>
      <c r="W46" s="20">
        <f>CUSTOS!$F$41</f>
        <v>0</v>
      </c>
      <c r="X46" s="20">
        <f>CUSTOS!$F$42</f>
        <v>0</v>
      </c>
      <c r="Y46" s="20">
        <f>CUSTOS!$F$43</f>
        <v>0</v>
      </c>
      <c r="Z46" s="20">
        <f>CUSTOS!$F$44</f>
        <v>0</v>
      </c>
      <c r="AA46" s="20">
        <f>CUSTOS!$F$45</f>
        <v>0</v>
      </c>
      <c r="AB46" s="20">
        <f>CUSTOS!$F$46</f>
        <v>0</v>
      </c>
    </row>
    <row r="47" spans="1:28" ht="11.25" customHeight="1" x14ac:dyDescent="0.3">
      <c r="K47" s="25" t="s">
        <v>491</v>
      </c>
      <c r="L47" s="20">
        <f>IF(SUMPRODUCT($I$5:$I$41,$L$5:$L$41)&lt;&gt;0,L44/SUMPRODUCT($I$5:$I$41,$L$5:$L$41),0)</f>
        <v>0</v>
      </c>
      <c r="M47" s="20">
        <f>IF(SUMPRODUCT($I$5:$I$41,$M$5:$M$41)&lt;&gt;0,M44/SUMPRODUCT($I$5:$I$41,$M$5:$M$41),0)</f>
        <v>15.999596213872602</v>
      </c>
      <c r="N47" s="20">
        <f>IF(SUMPRODUCT($I$5:$I$41,$N$5:$N$41)&lt;&gt;0,N44/SUMPRODUCT($I$5:$I$41,$N$5:$N$41),0)</f>
        <v>0</v>
      </c>
      <c r="O47" s="20">
        <f>IF(SUMPRODUCT($I$5:$I$41,$O$5:$O$41)&lt;&gt;0,O44/SUMPRODUCT($I$5:$I$41,$O$5:$O$41),0)</f>
        <v>0</v>
      </c>
      <c r="P47" s="20">
        <f>IF(SUMPRODUCT($I$5:$I$41,$P$5:$P$41)&lt;&gt;0,P44/SUMPRODUCT($I$5:$I$41,$P$5:$P$41),0)</f>
        <v>0</v>
      </c>
      <c r="Q47" s="20"/>
      <c r="R47" s="20">
        <f>IF((CUSTOS!$M$12-CUSTOS!$M$13)&lt;&gt;0,(CUSTOS!$M$12*CUSTOS!$M$14)/(CUSTOS!$M$12-CUSTOS!$M$13),0)</f>
        <v>193.53879186316399</v>
      </c>
      <c r="S47" s="20"/>
      <c r="T47" s="20">
        <f>IF(SUMPRODUCT($I$5:$I$41,$T$5:$T$41)&lt;&gt;0,T44/SUMPRODUCT($I$5:$I$41,$T$5:$T$41),0)</f>
        <v>0</v>
      </c>
      <c r="U47" s="20">
        <f>IF(SUMPRODUCT($I$5:$I$41,$U$5:$U$41)&lt;&gt;0,U44/SUMPRODUCT($I$5:$I$41,$U$5:$U$41),0)</f>
        <v>0</v>
      </c>
      <c r="V47" s="20">
        <f>IF(SUMPRODUCT($I$5:$I$41,$V$5:$V$41)&lt;&gt;0,V44/SUMPRODUCT($I$5:$I$41,$V$5:$V$41),0)</f>
        <v>0</v>
      </c>
      <c r="W47" s="20"/>
      <c r="X47" s="20">
        <f>IF(SUMPRODUCT($I$5:$I$41,$X$5:$X$41)&lt;&gt;0,X44/SUMPRODUCT($I$5:$I$41,$X$5:$X$41),0)</f>
        <v>0</v>
      </c>
      <c r="Y47" s="20"/>
      <c r="Z47" s="20">
        <f>IF(SUMPRODUCT($I$5:$I$41,$Z$5:$Z$41)&lt;&gt;0,Z44/SUMPRODUCT($I$5:$I$41,$Z$5:$Z$41),0)</f>
        <v>0</v>
      </c>
      <c r="AA47" s="20"/>
      <c r="AB47" s="20"/>
    </row>
    <row r="48" spans="1:28" ht="11.25" customHeight="1" x14ac:dyDescent="0.3">
      <c r="K48" s="25" t="s">
        <v>492</v>
      </c>
      <c r="L48" s="20">
        <f>IF(L43&lt;&gt;0,(L44-L47*0)/(L43-0),0)</f>
        <v>0</v>
      </c>
      <c r="M48" s="20">
        <f>IF(M43&lt;&gt;0,(M44-M47*0)/(M43-0),0)</f>
        <v>15.999596213872602</v>
      </c>
      <c r="N48" s="20">
        <f>IF(N43&lt;&gt;0,(N44-N47*0)/(N43-0),0)</f>
        <v>0</v>
      </c>
      <c r="O48" s="20">
        <f>IF(O43&lt;&gt;0,(O44-O47*0)/(O43-0),0)</f>
        <v>0</v>
      </c>
      <c r="P48" s="20">
        <f>IF(P43&lt;&gt;0,(P44-P47*0)/(P43-0),0)</f>
        <v>0</v>
      </c>
      <c r="Q48" s="20"/>
      <c r="R48" s="20">
        <f>IF(R43&lt;&gt;0,(R44-R47*0)/(R43-0),0)</f>
        <v>192.02112859353934</v>
      </c>
      <c r="S48" s="20"/>
      <c r="T48" s="20">
        <f>IF(T43&lt;&gt;0,(T44-T47*0)/(T43-0),0)</f>
        <v>0</v>
      </c>
      <c r="U48" s="20">
        <f>IF(U43&lt;&gt;0,(U44-U47*0)/(U43-0),0)</f>
        <v>0</v>
      </c>
      <c r="V48" s="20">
        <f>IF(V43&lt;&gt;0,(V44-V47*0)/(V43-0),0)</f>
        <v>0</v>
      </c>
      <c r="W48" s="20"/>
      <c r="X48" s="20">
        <f>IF(X43&lt;&gt;0,(X44-X47*0)/(X43-0),0)</f>
        <v>0</v>
      </c>
      <c r="Y48" s="20"/>
      <c r="Z48" s="20">
        <f>IF(Z43&lt;&gt;0,(Z44-Z47*0)/(Z43-0),0)</f>
        <v>0</v>
      </c>
      <c r="AA48" s="20"/>
      <c r="AB48" s="20"/>
    </row>
    <row r="49" spans="11:28" ht="11.25" customHeight="1" x14ac:dyDescent="0.3">
      <c r="K49" s="25" t="s">
        <v>493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</sheetData>
  <mergeCells count="61">
    <mergeCell ref="F5:F6"/>
    <mergeCell ref="A5:A6"/>
    <mergeCell ref="B5:B6"/>
    <mergeCell ref="C5:C6"/>
    <mergeCell ref="D5:D6"/>
    <mergeCell ref="E5:E6"/>
    <mergeCell ref="F7:F9"/>
    <mergeCell ref="B10:B14"/>
    <mergeCell ref="C10:C14"/>
    <mergeCell ref="B15:B19"/>
    <mergeCell ref="C15:C19"/>
    <mergeCell ref="A7:A19"/>
    <mergeCell ref="B7:B9"/>
    <mergeCell ref="C7:C9"/>
    <mergeCell ref="D7:D9"/>
    <mergeCell ref="E7:E9"/>
    <mergeCell ref="E28:E30"/>
    <mergeCell ref="F28:F30"/>
    <mergeCell ref="A20:A34"/>
    <mergeCell ref="B20:B22"/>
    <mergeCell ref="C20:C22"/>
    <mergeCell ref="D20:D22"/>
    <mergeCell ref="E20:E22"/>
    <mergeCell ref="F20:F22"/>
    <mergeCell ref="B24:B26"/>
    <mergeCell ref="C24:C26"/>
    <mergeCell ref="D24:D26"/>
    <mergeCell ref="E24:E26"/>
    <mergeCell ref="F1:F4"/>
    <mergeCell ref="E35:E37"/>
    <mergeCell ref="F35:F37"/>
    <mergeCell ref="A40:A41"/>
    <mergeCell ref="B40:B41"/>
    <mergeCell ref="C40:C41"/>
    <mergeCell ref="B32:B34"/>
    <mergeCell ref="C32:C34"/>
    <mergeCell ref="A35:A39"/>
    <mergeCell ref="B35:B37"/>
    <mergeCell ref="C35:C37"/>
    <mergeCell ref="D35:D37"/>
    <mergeCell ref="F24:F26"/>
    <mergeCell ref="B28:B30"/>
    <mergeCell ref="C28:C30"/>
    <mergeCell ref="D28:D30"/>
    <mergeCell ref="A1:A4"/>
    <mergeCell ref="B1:B4"/>
    <mergeCell ref="C1:C4"/>
    <mergeCell ref="D1:D4"/>
    <mergeCell ref="E1:E4"/>
    <mergeCell ref="Z3:AA3"/>
    <mergeCell ref="AB3:AB4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0771-8F27-4E1B-A9CD-AB2EE9ED8F46}">
  <dimension ref="A1:AB49"/>
  <sheetViews>
    <sheetView showGridLines="0" topLeftCell="P31" workbookViewId="0">
      <selection activeCell="AB43" sqref="AB43"/>
    </sheetView>
  </sheetViews>
  <sheetFormatPr defaultRowHeight="11.25" customHeight="1" x14ac:dyDescent="0.3"/>
  <cols>
    <col min="1" max="1" width="9" style="9" bestFit="1" customWidth="1"/>
    <col min="2" max="2" width="24.66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9" width="7.109375" style="9" bestFit="1" customWidth="1"/>
    <col min="10" max="10" width="8.88671875" style="9"/>
    <col min="11" max="11" width="19.88671875" style="9" bestFit="1" customWidth="1"/>
    <col min="12" max="12" width="7.109375" style="9" bestFit="1" customWidth="1"/>
    <col min="13" max="13" width="7.88671875" style="9" bestFit="1" customWidth="1"/>
    <col min="14" max="14" width="7.109375" style="9" bestFit="1" customWidth="1"/>
    <col min="15" max="15" width="10.33203125" style="9" bestFit="1" customWidth="1"/>
    <col min="16" max="16" width="7.6640625" style="9" bestFit="1" customWidth="1"/>
    <col min="17" max="17" width="8.5546875" style="9" bestFit="1" customWidth="1"/>
    <col min="18" max="18" width="14.44140625" style="9" bestFit="1" customWidth="1"/>
    <col min="19" max="19" width="9.109375" style="9" bestFit="1" customWidth="1"/>
    <col min="20" max="20" width="7.109375" style="9" bestFit="1" customWidth="1"/>
    <col min="21" max="21" width="9.77734375" style="9" bestFit="1" customWidth="1"/>
    <col min="22" max="22" width="7.109375" style="9" bestFit="1" customWidth="1"/>
    <col min="23" max="23" width="8.5546875" style="9" bestFit="1" customWidth="1"/>
    <col min="24" max="24" width="7.77734375" style="9" bestFit="1" customWidth="1"/>
    <col min="25" max="25" width="8.5546875" style="9" bestFit="1" customWidth="1"/>
    <col min="26" max="26" width="10.5546875" style="9" bestFit="1" customWidth="1"/>
    <col min="27" max="27" width="8.5546875" style="9" bestFit="1" customWidth="1"/>
    <col min="28" max="28" width="9.109375" style="9" bestFit="1" customWidth="1"/>
    <col min="29" max="16384" width="8.88671875" style="9"/>
  </cols>
  <sheetData>
    <row r="1" spans="1:28" ht="11.25" customHeight="1" x14ac:dyDescent="0.3">
      <c r="A1" s="101" t="s">
        <v>58</v>
      </c>
      <c r="B1" s="101" t="s">
        <v>59</v>
      </c>
      <c r="C1" s="101" t="s">
        <v>60</v>
      </c>
      <c r="D1" s="101" t="s">
        <v>61</v>
      </c>
      <c r="E1" s="101" t="s">
        <v>62</v>
      </c>
      <c r="F1" s="101" t="s">
        <v>15</v>
      </c>
      <c r="G1" s="101" t="s">
        <v>64</v>
      </c>
      <c r="H1" s="101" t="s">
        <v>65</v>
      </c>
      <c r="I1" s="101" t="s">
        <v>468</v>
      </c>
      <c r="J1" s="80"/>
      <c r="L1" s="99" t="s">
        <v>494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1.2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80"/>
      <c r="L2" s="99" t="s">
        <v>395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11.25" customHeight="1" x14ac:dyDescent="0.3">
      <c r="A3" s="101"/>
      <c r="B3" s="101"/>
      <c r="C3" s="101"/>
      <c r="D3" s="101"/>
      <c r="E3" s="101"/>
      <c r="F3" s="101"/>
      <c r="G3" s="101"/>
      <c r="H3" s="101"/>
      <c r="I3" s="101"/>
      <c r="J3" s="80"/>
      <c r="L3" s="99" t="s">
        <v>368</v>
      </c>
      <c r="M3" s="99"/>
      <c r="N3" s="99"/>
      <c r="O3" s="99"/>
      <c r="P3" s="99"/>
      <c r="Q3" s="99"/>
      <c r="R3" s="99" t="s">
        <v>399</v>
      </c>
      <c r="S3" s="99"/>
      <c r="T3" s="99" t="s">
        <v>377</v>
      </c>
      <c r="U3" s="99"/>
      <c r="V3" s="99"/>
      <c r="W3" s="99"/>
      <c r="X3" s="99" t="s">
        <v>387</v>
      </c>
      <c r="Y3" s="99"/>
      <c r="Z3" s="99" t="s">
        <v>390</v>
      </c>
      <c r="AA3" s="99"/>
      <c r="AB3" s="99" t="s">
        <v>376</v>
      </c>
    </row>
    <row r="4" spans="1:28" ht="11.25" customHeight="1" x14ac:dyDescent="0.3">
      <c r="A4" s="101"/>
      <c r="B4" s="101"/>
      <c r="C4" s="101"/>
      <c r="D4" s="101"/>
      <c r="E4" s="101"/>
      <c r="F4" s="101"/>
      <c r="G4" s="101"/>
      <c r="H4" s="101"/>
      <c r="I4" s="101"/>
      <c r="J4" s="80"/>
      <c r="L4" s="24" t="s">
        <v>370</v>
      </c>
      <c r="M4" s="24" t="s">
        <v>396</v>
      </c>
      <c r="N4" s="24" t="s">
        <v>397</v>
      </c>
      <c r="O4" s="24" t="s">
        <v>456</v>
      </c>
      <c r="P4" s="24" t="s">
        <v>398</v>
      </c>
      <c r="Q4" s="24" t="s">
        <v>376</v>
      </c>
      <c r="R4" s="24" t="s">
        <v>400</v>
      </c>
      <c r="S4" s="24" t="s">
        <v>376</v>
      </c>
      <c r="T4" s="24" t="s">
        <v>401</v>
      </c>
      <c r="U4" s="24" t="s">
        <v>402</v>
      </c>
      <c r="V4" s="24" t="s">
        <v>403</v>
      </c>
      <c r="W4" s="24" t="s">
        <v>376</v>
      </c>
      <c r="X4" s="24" t="s">
        <v>388</v>
      </c>
      <c r="Y4" s="24" t="s">
        <v>376</v>
      </c>
      <c r="Z4" s="24" t="s">
        <v>404</v>
      </c>
      <c r="AA4" s="24" t="s">
        <v>376</v>
      </c>
      <c r="AB4" s="100"/>
    </row>
    <row r="5" spans="1:28" ht="11.25" customHeight="1" x14ac:dyDescent="0.3">
      <c r="A5" s="102" t="s">
        <v>33</v>
      </c>
      <c r="B5" s="102" t="s">
        <v>67</v>
      </c>
      <c r="C5" s="102" t="s">
        <v>25</v>
      </c>
      <c r="D5" s="102" t="s">
        <v>25</v>
      </c>
      <c r="E5" s="102" t="s">
        <v>25</v>
      </c>
      <c r="F5" s="102" t="s">
        <v>25</v>
      </c>
      <c r="G5" s="23" t="s">
        <v>69</v>
      </c>
      <c r="H5" s="23" t="s">
        <v>68</v>
      </c>
      <c r="I5" s="23">
        <f>'MERCADO TE'!$U$2</f>
        <v>917.56700000000001</v>
      </c>
      <c r="J5" s="15"/>
      <c r="L5" s="20">
        <f>'TR TE'!$L$5*'TR TE'!$L$48</f>
        <v>0</v>
      </c>
      <c r="M5" s="20">
        <f>'TR TE'!$M$5*'TR TE'!$M$48</f>
        <v>15.999596213872602</v>
      </c>
      <c r="N5" s="20">
        <f>'TR TE'!$N$5*'TR TE'!$N$48</f>
        <v>0</v>
      </c>
      <c r="O5" s="20">
        <f>'TR TE'!$O$5*'TR TE'!$O$48</f>
        <v>0</v>
      </c>
      <c r="P5" s="20">
        <f>'TR TE'!$P$5*'TR TE'!$P$48</f>
        <v>0</v>
      </c>
      <c r="Q5" s="20">
        <f>SUM($L$5:$P$5)</f>
        <v>15.999596213872602</v>
      </c>
      <c r="R5" s="20">
        <f>'TR TE'!$R$5*'TR TE'!$R$48</f>
        <v>192.02112859353934</v>
      </c>
      <c r="S5" s="20">
        <f>SUM($R$5:$R$5)</f>
        <v>192.02112859353934</v>
      </c>
      <c r="T5" s="20">
        <f>'TR TE'!$T$5*'TR TE'!$T$48</f>
        <v>0</v>
      </c>
      <c r="U5" s="20">
        <f>'TR TE'!$U$5*'TR TE'!$U$48</f>
        <v>0</v>
      </c>
      <c r="V5" s="20">
        <f>'TR TE'!$V$5*'TR TE'!$V$48</f>
        <v>0</v>
      </c>
      <c r="W5" s="20">
        <f>SUM($T$5:$V$5)</f>
        <v>0</v>
      </c>
      <c r="X5" s="20"/>
      <c r="Y5" s="20">
        <f>SUM($X$5:$X$5)</f>
        <v>0</v>
      </c>
      <c r="Z5" s="20">
        <f>'TR TE'!$Z$5*'TR TE'!$Z$48</f>
        <v>0</v>
      </c>
      <c r="AA5" s="20">
        <f>SUM($Z$5:$Z$5)</f>
        <v>0</v>
      </c>
      <c r="AB5" s="20">
        <f>SUMIF($L$4:$AA$4,"SUBTOTAL",$L$5:$AA$5)</f>
        <v>208.02072480741194</v>
      </c>
    </row>
    <row r="6" spans="1:28" ht="11.25" customHeight="1" x14ac:dyDescent="0.3">
      <c r="A6" s="102"/>
      <c r="B6" s="102"/>
      <c r="C6" s="102"/>
      <c r="D6" s="102"/>
      <c r="E6" s="102"/>
      <c r="F6" s="102"/>
      <c r="G6" s="23" t="s">
        <v>70</v>
      </c>
      <c r="H6" s="23" t="s">
        <v>68</v>
      </c>
      <c r="I6" s="23">
        <f>'MERCADO TE'!$U$3</f>
        <v>10340.044</v>
      </c>
      <c r="J6" s="15"/>
      <c r="L6" s="20">
        <f>'TR TE'!$L$6*'TR TE'!$L$48</f>
        <v>0</v>
      </c>
      <c r="M6" s="20">
        <f>'TR TE'!$M$6*'TR TE'!$M$48</f>
        <v>15.999596213872602</v>
      </c>
      <c r="N6" s="20">
        <f>'TR TE'!$N$6*'TR TE'!$N$48</f>
        <v>0</v>
      </c>
      <c r="O6" s="20">
        <f>'TR TE'!$O$6*'TR TE'!$O$48</f>
        <v>0</v>
      </c>
      <c r="P6" s="20">
        <f>'TR TE'!$P$6*'TR TE'!$P$48</f>
        <v>0</v>
      </c>
      <c r="Q6" s="20">
        <f>SUM($L$6:$P$6)</f>
        <v>15.999596213872602</v>
      </c>
      <c r="R6" s="20">
        <f>'TR TE'!$R$6*'TR TE'!$R$48</f>
        <v>192.02112859353934</v>
      </c>
      <c r="S6" s="20">
        <f>SUM($R$6:$R$6)</f>
        <v>192.02112859353934</v>
      </c>
      <c r="T6" s="20">
        <f>'TR TE'!$T$6*'TR TE'!$T$48</f>
        <v>0</v>
      </c>
      <c r="U6" s="20">
        <f>'TR TE'!$U$6*'TR TE'!$U$48</f>
        <v>0</v>
      </c>
      <c r="V6" s="20">
        <f>'TR TE'!$V$6*'TR TE'!$V$48</f>
        <v>0</v>
      </c>
      <c r="W6" s="20">
        <f>SUM($T$6:$V$6)</f>
        <v>0</v>
      </c>
      <c r="X6" s="20"/>
      <c r="Y6" s="20">
        <f>SUM($X$6:$X$6)</f>
        <v>0</v>
      </c>
      <c r="Z6" s="20">
        <f>'TR TE'!$Z$6*'TR TE'!$Z$48</f>
        <v>0</v>
      </c>
      <c r="AA6" s="20">
        <f>SUM($Z$6:$Z$6)</f>
        <v>0</v>
      </c>
      <c r="AB6" s="20">
        <f>SUMIF($L$4:$AA$4,"SUBTOTAL",$L$6:$AA$6)</f>
        <v>208.02072480741194</v>
      </c>
    </row>
    <row r="7" spans="1:28" ht="11.25" customHeight="1" x14ac:dyDescent="0.3">
      <c r="A7" s="102" t="s">
        <v>22</v>
      </c>
      <c r="B7" s="102" t="s">
        <v>67</v>
      </c>
      <c r="C7" s="102" t="s">
        <v>24</v>
      </c>
      <c r="D7" s="102" t="s">
        <v>24</v>
      </c>
      <c r="E7" s="102" t="s">
        <v>25</v>
      </c>
      <c r="F7" s="102" t="s">
        <v>25</v>
      </c>
      <c r="G7" s="23" t="s">
        <v>69</v>
      </c>
      <c r="H7" s="23" t="s">
        <v>68</v>
      </c>
      <c r="I7" s="23">
        <f>'MERCADO TE'!$U$4</f>
        <v>0</v>
      </c>
      <c r="J7" s="15"/>
      <c r="L7" s="20">
        <f>'TR TE'!$L$7*'TR TE'!$L$48</f>
        <v>0</v>
      </c>
      <c r="M7" s="20">
        <f>'TR TE'!$M$7*'TR TE'!$M$48</f>
        <v>15.999596213872602</v>
      </c>
      <c r="N7" s="20">
        <f>'TR TE'!$N$7*'TR TE'!$N$48</f>
        <v>0</v>
      </c>
      <c r="O7" s="20">
        <f>'TR TE'!$O$7*'TR TE'!$O$48</f>
        <v>0</v>
      </c>
      <c r="P7" s="20">
        <f>'TR TE'!$P$7*'TR TE'!$P$48</f>
        <v>0</v>
      </c>
      <c r="Q7" s="20">
        <f>SUM($L$7:$P$7)</f>
        <v>15.999596213872602</v>
      </c>
      <c r="R7" s="20">
        <f>'TR TE'!$R$7*'TR TE'!$R$48</f>
        <v>192.02112859353934</v>
      </c>
      <c r="S7" s="20">
        <f>SUM($R$7:$R$7)</f>
        <v>192.02112859353934</v>
      </c>
      <c r="T7" s="20">
        <f>'TR TE'!$T$7*'TR TE'!$T$48</f>
        <v>0</v>
      </c>
      <c r="U7" s="20">
        <f>'TR TE'!$U$7*'TR TE'!$U$48</f>
        <v>0</v>
      </c>
      <c r="V7" s="20">
        <f>'TR TE'!$V$7*'TR TE'!$V$48</f>
        <v>0</v>
      </c>
      <c r="W7" s="20">
        <f>SUM($T$7:$V$7)</f>
        <v>0</v>
      </c>
      <c r="X7" s="20"/>
      <c r="Y7" s="20">
        <f>SUM($X$7:$X$7)</f>
        <v>0</v>
      </c>
      <c r="Z7" s="20">
        <f>'TR TE'!$Z$7*'TR TE'!$Z$48</f>
        <v>0</v>
      </c>
      <c r="AA7" s="20">
        <f>SUM($Z$7:$Z$7)</f>
        <v>0</v>
      </c>
      <c r="AB7" s="20">
        <f>SUMIF($L$4:$AA$4,"SUBTOTAL",$L$7:$AA$7)</f>
        <v>208.02072480741194</v>
      </c>
    </row>
    <row r="8" spans="1:28" ht="11.25" customHeight="1" x14ac:dyDescent="0.3">
      <c r="A8" s="102"/>
      <c r="B8" s="102"/>
      <c r="C8" s="102"/>
      <c r="D8" s="102"/>
      <c r="E8" s="102"/>
      <c r="F8" s="102"/>
      <c r="G8" s="23" t="s">
        <v>80</v>
      </c>
      <c r="H8" s="23" t="s">
        <v>68</v>
      </c>
      <c r="I8" s="23">
        <f>'MERCADO TE'!$U$5</f>
        <v>0</v>
      </c>
      <c r="J8" s="15"/>
      <c r="L8" s="20">
        <f>'TR TE'!$L$8*'TR TE'!$L$48</f>
        <v>0</v>
      </c>
      <c r="M8" s="20">
        <f>'TR TE'!$M$8*'TR TE'!$M$48</f>
        <v>15.999596213872602</v>
      </c>
      <c r="N8" s="20">
        <f>'TR TE'!$N$8*'TR TE'!$N$48</f>
        <v>0</v>
      </c>
      <c r="O8" s="20">
        <f>'TR TE'!$O$8*'TR TE'!$O$48</f>
        <v>0</v>
      </c>
      <c r="P8" s="20">
        <f>'TR TE'!$P$8*'TR TE'!$P$48</f>
        <v>0</v>
      </c>
      <c r="Q8" s="20">
        <f>SUM($L$8:$P$8)</f>
        <v>15.999596213872602</v>
      </c>
      <c r="R8" s="20">
        <f>'TR TE'!$R$8*'TR TE'!$R$48</f>
        <v>192.02112859353934</v>
      </c>
      <c r="S8" s="20">
        <f>SUM($R$8:$R$8)</f>
        <v>192.02112859353934</v>
      </c>
      <c r="T8" s="20">
        <f>'TR TE'!$T$8*'TR TE'!$T$48</f>
        <v>0</v>
      </c>
      <c r="U8" s="20">
        <f>'TR TE'!$U$8*'TR TE'!$U$48</f>
        <v>0</v>
      </c>
      <c r="V8" s="20">
        <f>'TR TE'!$V$8*'TR TE'!$V$48</f>
        <v>0</v>
      </c>
      <c r="W8" s="20">
        <f>SUM($T$8:$V$8)</f>
        <v>0</v>
      </c>
      <c r="X8" s="20"/>
      <c r="Y8" s="20">
        <f>SUM($X$8:$X$8)</f>
        <v>0</v>
      </c>
      <c r="Z8" s="20">
        <f>'TR TE'!$Z$8*'TR TE'!$Z$48</f>
        <v>0</v>
      </c>
      <c r="AA8" s="20">
        <f>SUM($Z$8:$Z$8)</f>
        <v>0</v>
      </c>
      <c r="AB8" s="20">
        <f>SUMIF($L$4:$AA$4,"SUBTOTAL",$L$8:$AA$8)</f>
        <v>208.02072480741194</v>
      </c>
    </row>
    <row r="9" spans="1:28" ht="11.25" customHeight="1" x14ac:dyDescent="0.3">
      <c r="A9" s="102"/>
      <c r="B9" s="102"/>
      <c r="C9" s="102"/>
      <c r="D9" s="102"/>
      <c r="E9" s="102"/>
      <c r="F9" s="102"/>
      <c r="G9" s="23" t="s">
        <v>70</v>
      </c>
      <c r="H9" s="23" t="s">
        <v>68</v>
      </c>
      <c r="I9" s="23">
        <f>'MERCADO TE'!$U$6</f>
        <v>0</v>
      </c>
      <c r="J9" s="15"/>
      <c r="L9" s="20">
        <f>'TR TE'!$L$9*'TR TE'!$L$48</f>
        <v>0</v>
      </c>
      <c r="M9" s="20">
        <f>'TR TE'!$M$9*'TR TE'!$M$48</f>
        <v>15.999596213872602</v>
      </c>
      <c r="N9" s="20">
        <f>'TR TE'!$N$9*'TR TE'!$N$48</f>
        <v>0</v>
      </c>
      <c r="O9" s="20">
        <f>'TR TE'!$O$9*'TR TE'!$O$48</f>
        <v>0</v>
      </c>
      <c r="P9" s="20">
        <f>'TR TE'!$P$9*'TR TE'!$P$48</f>
        <v>0</v>
      </c>
      <c r="Q9" s="20">
        <f>SUM($L$9:$P$9)</f>
        <v>15.999596213872602</v>
      </c>
      <c r="R9" s="20">
        <f>'TR TE'!$R$9*'TR TE'!$R$48</f>
        <v>192.02112859353934</v>
      </c>
      <c r="S9" s="20">
        <f>SUM($R$9:$R$9)</f>
        <v>192.02112859353934</v>
      </c>
      <c r="T9" s="20">
        <f>'TR TE'!$T$9*'TR TE'!$T$48</f>
        <v>0</v>
      </c>
      <c r="U9" s="20">
        <f>'TR TE'!$U$9*'TR TE'!$U$48</f>
        <v>0</v>
      </c>
      <c r="V9" s="20">
        <f>'TR TE'!$V$9*'TR TE'!$V$48</f>
        <v>0</v>
      </c>
      <c r="W9" s="20">
        <f>SUM($T$9:$V$9)</f>
        <v>0</v>
      </c>
      <c r="X9" s="20"/>
      <c r="Y9" s="20">
        <f>SUM($X$9:$X$9)</f>
        <v>0</v>
      </c>
      <c r="Z9" s="20">
        <f>'TR TE'!$Z$9*'TR TE'!$Z$48</f>
        <v>0</v>
      </c>
      <c r="AA9" s="20">
        <f>SUM($Z$9:$Z$9)</f>
        <v>0</v>
      </c>
      <c r="AB9" s="20">
        <f>SUMIF($L$4:$AA$4,"SUBTOTAL",$L$9:$AA$9)</f>
        <v>208.02072480741194</v>
      </c>
    </row>
    <row r="10" spans="1:28" ht="11.25" customHeight="1" x14ac:dyDescent="0.3">
      <c r="A10" s="102"/>
      <c r="B10" s="102" t="s">
        <v>81</v>
      </c>
      <c r="C10" s="102" t="s">
        <v>24</v>
      </c>
      <c r="D10" s="22" t="s">
        <v>24</v>
      </c>
      <c r="E10" s="22" t="s">
        <v>25</v>
      </c>
      <c r="F10" s="22" t="s">
        <v>25</v>
      </c>
      <c r="G10" s="23" t="s">
        <v>74</v>
      </c>
      <c r="H10" s="23" t="s">
        <v>68</v>
      </c>
      <c r="I10" s="23">
        <f>'MERCADO TE'!$U$7</f>
        <v>434.28799999999995</v>
      </c>
      <c r="J10" s="15"/>
      <c r="L10" s="20">
        <f>'TR TE'!$L$10*'TR TE'!$L$48</f>
        <v>0</v>
      </c>
      <c r="M10" s="20">
        <f>'TR TE'!$M$10*'TR TE'!$M$48</f>
        <v>15.999596213872602</v>
      </c>
      <c r="N10" s="20">
        <f>'TR TE'!$N$10*'TR TE'!$N$48</f>
        <v>0</v>
      </c>
      <c r="O10" s="20">
        <f>'TR TE'!$O$10*'TR TE'!$O$48</f>
        <v>0</v>
      </c>
      <c r="P10" s="20">
        <f>'TR TE'!$P$10*'TR TE'!$P$48</f>
        <v>0</v>
      </c>
      <c r="Q10" s="20">
        <f>SUM($L$10:$P$10)</f>
        <v>15.999596213872602</v>
      </c>
      <c r="R10" s="20">
        <f>'TR TE'!$R$10*'TR TE'!$R$48</f>
        <v>192.02112859353934</v>
      </c>
      <c r="S10" s="20">
        <f>SUM($R$10:$R$10)</f>
        <v>192.02112859353934</v>
      </c>
      <c r="T10" s="20">
        <f>'TR TE'!$T$10*'TR TE'!$T$48</f>
        <v>0</v>
      </c>
      <c r="U10" s="20">
        <f>'TR TE'!$U$10*'TR TE'!$U$48</f>
        <v>0</v>
      </c>
      <c r="V10" s="20">
        <f>'TR TE'!$V$10*'TR TE'!$V$48</f>
        <v>0</v>
      </c>
      <c r="W10" s="20">
        <f>SUM($T$10:$V$10)</f>
        <v>0</v>
      </c>
      <c r="X10" s="20"/>
      <c r="Y10" s="20">
        <f>SUM($X$10:$X$10)</f>
        <v>0</v>
      </c>
      <c r="Z10" s="20">
        <f>'TR TE'!$Z$10*'TR TE'!$Z$48</f>
        <v>0</v>
      </c>
      <c r="AA10" s="20">
        <f>SUM($Z$10:$Z$10)</f>
        <v>0</v>
      </c>
      <c r="AB10" s="20">
        <f>SUMIF($L$4:$AA$4,"SUBTOTAL",$L$10:$AA$10)</f>
        <v>208.02072480741194</v>
      </c>
    </row>
    <row r="11" spans="1:28" ht="11.25" customHeight="1" x14ac:dyDescent="0.3">
      <c r="A11" s="102"/>
      <c r="B11" s="102"/>
      <c r="C11" s="102"/>
      <c r="D11" s="22" t="s">
        <v>27</v>
      </c>
      <c r="E11" s="22" t="s">
        <v>25</v>
      </c>
      <c r="F11" s="22" t="s">
        <v>25</v>
      </c>
      <c r="G11" s="23" t="s">
        <v>74</v>
      </c>
      <c r="H11" s="23" t="s">
        <v>68</v>
      </c>
      <c r="I11" s="23">
        <f>'MERCADO TE'!$U$8</f>
        <v>2.37</v>
      </c>
      <c r="J11" s="15"/>
      <c r="L11" s="20">
        <f>'TR TE'!$L$11*'TR TE'!$L$48</f>
        <v>0</v>
      </c>
      <c r="M11" s="20">
        <f>'TR TE'!$M$11*'TR TE'!$M$48</f>
        <v>15.999596213872602</v>
      </c>
      <c r="N11" s="20">
        <f>'TR TE'!$N$11*'TR TE'!$N$48</f>
        <v>0</v>
      </c>
      <c r="O11" s="20">
        <f>'TR TE'!$O$11*'TR TE'!$O$48</f>
        <v>0</v>
      </c>
      <c r="P11" s="20">
        <f>'TR TE'!$P$11*'TR TE'!$P$48</f>
        <v>0</v>
      </c>
      <c r="Q11" s="20">
        <f>SUM($L$11:$P$11)</f>
        <v>15.999596213872602</v>
      </c>
      <c r="R11" s="20">
        <f>'TR TE'!$R$11*'TR TE'!$R$48</f>
        <v>192.02112859353934</v>
      </c>
      <c r="S11" s="20">
        <f>SUM($R$11:$R$11)</f>
        <v>192.02112859353934</v>
      </c>
      <c r="T11" s="20">
        <f>'TR TE'!$T$11*'TR TE'!$T$48</f>
        <v>0</v>
      </c>
      <c r="U11" s="20">
        <f>'TR TE'!$U$11*'TR TE'!$U$48</f>
        <v>0</v>
      </c>
      <c r="V11" s="20">
        <f>'TR TE'!$V$11*'TR TE'!$V$48</f>
        <v>0</v>
      </c>
      <c r="W11" s="20">
        <f>SUM($T$11:$V$11)</f>
        <v>0</v>
      </c>
      <c r="X11" s="20"/>
      <c r="Y11" s="20">
        <f>SUM($X$11:$X$11)</f>
        <v>0</v>
      </c>
      <c r="Z11" s="20">
        <f>'TR TE'!$Z$11*'TR TE'!$Z$48</f>
        <v>0</v>
      </c>
      <c r="AA11" s="20">
        <f>SUM($Z$11:$Z$11)</f>
        <v>0</v>
      </c>
      <c r="AB11" s="20">
        <f>SUMIF($L$4:$AA$4,"SUBTOTAL",$L$11:$AA$11)</f>
        <v>208.02072480741194</v>
      </c>
    </row>
    <row r="12" spans="1:28" ht="11.25" customHeight="1" x14ac:dyDescent="0.3">
      <c r="A12" s="102"/>
      <c r="B12" s="102"/>
      <c r="C12" s="102"/>
      <c r="D12" s="22" t="s">
        <v>28</v>
      </c>
      <c r="E12" s="22" t="s">
        <v>25</v>
      </c>
      <c r="F12" s="22" t="s">
        <v>25</v>
      </c>
      <c r="G12" s="23" t="s">
        <v>74</v>
      </c>
      <c r="H12" s="23" t="s">
        <v>68</v>
      </c>
      <c r="I12" s="23">
        <f>'MERCADO TE'!$U$9</f>
        <v>4.327</v>
      </c>
      <c r="J12" s="15"/>
      <c r="L12" s="20">
        <f>'TR TE'!$L$12*'TR TE'!$L$48</f>
        <v>0</v>
      </c>
      <c r="M12" s="20">
        <f>'TR TE'!$M$12*'TR TE'!$M$48</f>
        <v>15.999596213872602</v>
      </c>
      <c r="N12" s="20">
        <f>'TR TE'!$N$12*'TR TE'!$N$48</f>
        <v>0</v>
      </c>
      <c r="O12" s="20">
        <f>'TR TE'!$O$12*'TR TE'!$O$48</f>
        <v>0</v>
      </c>
      <c r="P12" s="20">
        <f>'TR TE'!$P$12*'TR TE'!$P$48</f>
        <v>0</v>
      </c>
      <c r="Q12" s="20">
        <f>SUM($L$12:$P$12)</f>
        <v>15.999596213872602</v>
      </c>
      <c r="R12" s="20">
        <f>'TR TE'!$R$12*'TR TE'!$R$48</f>
        <v>192.02112859353934</v>
      </c>
      <c r="S12" s="20">
        <f>SUM($R$12:$R$12)</f>
        <v>192.02112859353934</v>
      </c>
      <c r="T12" s="20">
        <f>'TR TE'!$T$12*'TR TE'!$T$48</f>
        <v>0</v>
      </c>
      <c r="U12" s="20">
        <f>'TR TE'!$U$12*'TR TE'!$U$48</f>
        <v>0</v>
      </c>
      <c r="V12" s="20">
        <f>'TR TE'!$V$12*'TR TE'!$V$48</f>
        <v>0</v>
      </c>
      <c r="W12" s="20">
        <f>SUM($T$12:$V$12)</f>
        <v>0</v>
      </c>
      <c r="X12" s="20"/>
      <c r="Y12" s="20">
        <f>SUM($X$12:$X$12)</f>
        <v>0</v>
      </c>
      <c r="Z12" s="20">
        <f>'TR TE'!$Z$12*'TR TE'!$Z$48</f>
        <v>0</v>
      </c>
      <c r="AA12" s="20">
        <f>SUM($Z$12:$Z$12)</f>
        <v>0</v>
      </c>
      <c r="AB12" s="20">
        <f>SUMIF($L$4:$AA$4,"SUBTOTAL",$L$12:$AA$12)</f>
        <v>208.02072480741194</v>
      </c>
    </row>
    <row r="13" spans="1:28" ht="11.25" customHeight="1" x14ac:dyDescent="0.3">
      <c r="A13" s="102"/>
      <c r="B13" s="102"/>
      <c r="C13" s="102"/>
      <c r="D13" s="22" t="s">
        <v>29</v>
      </c>
      <c r="E13" s="22" t="s">
        <v>25</v>
      </c>
      <c r="F13" s="22" t="s">
        <v>25</v>
      </c>
      <c r="G13" s="23" t="s">
        <v>74</v>
      </c>
      <c r="H13" s="23" t="s">
        <v>68</v>
      </c>
      <c r="I13" s="23">
        <f>'MERCADO TE'!$U$10</f>
        <v>5.7929999999999993</v>
      </c>
      <c r="J13" s="15"/>
      <c r="L13" s="20">
        <f>'TR TE'!$L$13*'TR TE'!$L$48</f>
        <v>0</v>
      </c>
      <c r="M13" s="20">
        <f>'TR TE'!$M$13*'TR TE'!$M$48</f>
        <v>15.999596213872602</v>
      </c>
      <c r="N13" s="20">
        <f>'TR TE'!$N$13*'TR TE'!$N$48</f>
        <v>0</v>
      </c>
      <c r="O13" s="20">
        <f>'TR TE'!$O$13*'TR TE'!$O$48</f>
        <v>0</v>
      </c>
      <c r="P13" s="20">
        <f>'TR TE'!$P$13*'TR TE'!$P$48</f>
        <v>0</v>
      </c>
      <c r="Q13" s="20">
        <f>SUM($L$13:$P$13)</f>
        <v>15.999596213872602</v>
      </c>
      <c r="R13" s="20">
        <f>'TR TE'!$R$13*'TR TE'!$R$48</f>
        <v>192.02112859353934</v>
      </c>
      <c r="S13" s="20">
        <f>SUM($R$13:$R$13)</f>
        <v>192.02112859353934</v>
      </c>
      <c r="T13" s="20">
        <f>'TR TE'!$T$13*'TR TE'!$T$48</f>
        <v>0</v>
      </c>
      <c r="U13" s="20">
        <f>'TR TE'!$U$13*'TR TE'!$U$48</f>
        <v>0</v>
      </c>
      <c r="V13" s="20">
        <f>'TR TE'!$V$13*'TR TE'!$V$48</f>
        <v>0</v>
      </c>
      <c r="W13" s="20">
        <f>SUM($T$13:$V$13)</f>
        <v>0</v>
      </c>
      <c r="X13" s="20"/>
      <c r="Y13" s="20">
        <f>SUM($X$13:$X$13)</f>
        <v>0</v>
      </c>
      <c r="Z13" s="20">
        <f>'TR TE'!$Z$13*'TR TE'!$Z$48</f>
        <v>0</v>
      </c>
      <c r="AA13" s="20">
        <f>SUM($Z$13:$Z$13)</f>
        <v>0</v>
      </c>
      <c r="AB13" s="20">
        <f>SUMIF($L$4:$AA$4,"SUBTOTAL",$L$13:$AA$13)</f>
        <v>208.02072480741194</v>
      </c>
    </row>
    <row r="14" spans="1:28" ht="11.25" customHeight="1" x14ac:dyDescent="0.3">
      <c r="A14" s="102"/>
      <c r="B14" s="102"/>
      <c r="C14" s="102"/>
      <c r="D14" s="22" t="s">
        <v>30</v>
      </c>
      <c r="E14" s="22" t="s">
        <v>25</v>
      </c>
      <c r="F14" s="22" t="s">
        <v>25</v>
      </c>
      <c r="G14" s="23" t="s">
        <v>74</v>
      </c>
      <c r="H14" s="23" t="s">
        <v>68</v>
      </c>
      <c r="I14" s="23">
        <f>'MERCADO TE'!$U$11</f>
        <v>2.0990000000000002</v>
      </c>
      <c r="J14" s="15"/>
      <c r="L14" s="20">
        <f>'TR TE'!$L$14*'TR TE'!$L$48</f>
        <v>0</v>
      </c>
      <c r="M14" s="20">
        <f>'TR TE'!$M$14*'TR TE'!$M$48</f>
        <v>15.999596213872602</v>
      </c>
      <c r="N14" s="20">
        <f>'TR TE'!$N$14*'TR TE'!$N$48</f>
        <v>0</v>
      </c>
      <c r="O14" s="20">
        <f>'TR TE'!$O$14*'TR TE'!$O$48</f>
        <v>0</v>
      </c>
      <c r="P14" s="20">
        <f>'TR TE'!$P$14*'TR TE'!$P$48</f>
        <v>0</v>
      </c>
      <c r="Q14" s="20">
        <f>SUM($L$14:$P$14)</f>
        <v>15.999596213872602</v>
      </c>
      <c r="R14" s="20">
        <f>'TR TE'!$R$14*'TR TE'!$R$48</f>
        <v>192.02112859353934</v>
      </c>
      <c r="S14" s="20">
        <f>SUM($R$14:$R$14)</f>
        <v>192.02112859353934</v>
      </c>
      <c r="T14" s="20">
        <f>'TR TE'!$T$14*'TR TE'!$T$48</f>
        <v>0</v>
      </c>
      <c r="U14" s="20">
        <f>'TR TE'!$U$14*'TR TE'!$U$48</f>
        <v>0</v>
      </c>
      <c r="V14" s="20">
        <f>'TR TE'!$V$14*'TR TE'!$V$48</f>
        <v>0</v>
      </c>
      <c r="W14" s="20">
        <f>SUM($T$14:$V$14)</f>
        <v>0</v>
      </c>
      <c r="X14" s="20"/>
      <c r="Y14" s="20">
        <f>SUM($X$14:$X$14)</f>
        <v>0</v>
      </c>
      <c r="Z14" s="20">
        <f>'TR TE'!$Z$14*'TR TE'!$Z$48</f>
        <v>0</v>
      </c>
      <c r="AA14" s="20">
        <f>SUM($Z$14:$Z$14)</f>
        <v>0</v>
      </c>
      <c r="AB14" s="20">
        <f>SUMIF($L$4:$AA$4,"SUBTOTAL",$L$14:$AA$14)</f>
        <v>208.02072480741194</v>
      </c>
    </row>
    <row r="15" spans="1:28" ht="11.25" customHeight="1" x14ac:dyDescent="0.3">
      <c r="A15" s="102"/>
      <c r="B15" s="102" t="s">
        <v>83</v>
      </c>
      <c r="C15" s="102" t="s">
        <v>24</v>
      </c>
      <c r="D15" s="22" t="s">
        <v>24</v>
      </c>
      <c r="E15" s="22" t="s">
        <v>25</v>
      </c>
      <c r="F15" s="22" t="s">
        <v>25</v>
      </c>
      <c r="G15" s="23" t="s">
        <v>74</v>
      </c>
      <c r="H15" s="23" t="s">
        <v>68</v>
      </c>
      <c r="I15" s="23">
        <f>'MERCADO TE'!$U$12</f>
        <v>0</v>
      </c>
      <c r="J15" s="15"/>
      <c r="L15" s="20">
        <f>'TR TE'!$L$15*'TR TE'!$L$48</f>
        <v>0</v>
      </c>
      <c r="M15" s="20">
        <f>'TR TE'!$M$15*'TR TE'!$M$48</f>
        <v>15.999596213872602</v>
      </c>
      <c r="N15" s="20">
        <f>'TR TE'!$N$15*'TR TE'!$N$48</f>
        <v>0</v>
      </c>
      <c r="O15" s="20">
        <f>'TR TE'!$O$15*'TR TE'!$O$48</f>
        <v>0</v>
      </c>
      <c r="P15" s="20">
        <f>'TR TE'!$P$15*'TR TE'!$P$48</f>
        <v>0</v>
      </c>
      <c r="Q15" s="20">
        <f>SUM($L$15:$P$15)</f>
        <v>15.999596213872602</v>
      </c>
      <c r="R15" s="20">
        <f>'TR TE'!$R$15*'TR TE'!$R$48</f>
        <v>192.02112859353934</v>
      </c>
      <c r="S15" s="20">
        <f>SUM($R$15:$R$15)</f>
        <v>192.02112859353934</v>
      </c>
      <c r="T15" s="20">
        <f>'TR TE'!$T$15*'TR TE'!$T$48</f>
        <v>0</v>
      </c>
      <c r="U15" s="20">
        <f>'TR TE'!$U$15*'TR TE'!$U$48</f>
        <v>0</v>
      </c>
      <c r="V15" s="20">
        <f>'TR TE'!$V$15*'TR TE'!$V$48</f>
        <v>0</v>
      </c>
      <c r="W15" s="20">
        <f>SUM($T$15:$V$15)</f>
        <v>0</v>
      </c>
      <c r="X15" s="20"/>
      <c r="Y15" s="20">
        <f>SUM($X$15:$X$15)</f>
        <v>0</v>
      </c>
      <c r="Z15" s="20">
        <f>'TR TE'!$Z$15*'TR TE'!$Z$48</f>
        <v>0</v>
      </c>
      <c r="AA15" s="20">
        <f>SUM($Z$15:$Z$15)</f>
        <v>0</v>
      </c>
      <c r="AB15" s="20">
        <f>SUMIF($L$4:$AA$4,"SUBTOTAL",$L$15:$AA$15)</f>
        <v>208.02072480741194</v>
      </c>
    </row>
    <row r="16" spans="1:28" ht="11.25" customHeight="1" x14ac:dyDescent="0.3">
      <c r="A16" s="102"/>
      <c r="B16" s="102"/>
      <c r="C16" s="102"/>
      <c r="D16" s="22" t="s">
        <v>27</v>
      </c>
      <c r="E16" s="22" t="s">
        <v>25</v>
      </c>
      <c r="F16" s="22" t="s">
        <v>25</v>
      </c>
      <c r="G16" s="23" t="s">
        <v>74</v>
      </c>
      <c r="H16" s="23" t="s">
        <v>68</v>
      </c>
      <c r="I16" s="23">
        <f>'MERCADO TE'!$U$13</f>
        <v>0</v>
      </c>
      <c r="J16" s="15"/>
      <c r="L16" s="20">
        <f>'TR TE'!$L$16*'TR TE'!$L$48</f>
        <v>0</v>
      </c>
      <c r="M16" s="20">
        <f>'TR TE'!$M$16*'TR TE'!$M$48</f>
        <v>15.999596213872602</v>
      </c>
      <c r="N16" s="20">
        <f>'TR TE'!$N$16*'TR TE'!$N$48</f>
        <v>0</v>
      </c>
      <c r="O16" s="20">
        <f>'TR TE'!$O$16*'TR TE'!$O$48</f>
        <v>0</v>
      </c>
      <c r="P16" s="20">
        <f>'TR TE'!$P$16*'TR TE'!$P$48</f>
        <v>0</v>
      </c>
      <c r="Q16" s="20">
        <f>SUM($L$16:$P$16)</f>
        <v>15.999596213872602</v>
      </c>
      <c r="R16" s="20">
        <f>'TR TE'!$R$16*'TR TE'!$R$48</f>
        <v>192.02112859353934</v>
      </c>
      <c r="S16" s="20">
        <f>SUM($R$16:$R$16)</f>
        <v>192.02112859353934</v>
      </c>
      <c r="T16" s="20">
        <f>'TR TE'!$T$16*'TR TE'!$T$48</f>
        <v>0</v>
      </c>
      <c r="U16" s="20">
        <f>'TR TE'!$U$16*'TR TE'!$U$48</f>
        <v>0</v>
      </c>
      <c r="V16" s="20">
        <f>'TR TE'!$V$16*'TR TE'!$V$48</f>
        <v>0</v>
      </c>
      <c r="W16" s="20">
        <f>SUM($T$16:$V$16)</f>
        <v>0</v>
      </c>
      <c r="X16" s="20"/>
      <c r="Y16" s="20">
        <f>SUM($X$16:$X$16)</f>
        <v>0</v>
      </c>
      <c r="Z16" s="20">
        <f>'TR TE'!$Z$16*'TR TE'!$Z$48</f>
        <v>0</v>
      </c>
      <c r="AA16" s="20">
        <f>SUM($Z$16:$Z$16)</f>
        <v>0</v>
      </c>
      <c r="AB16" s="20">
        <f>SUMIF($L$4:$AA$4,"SUBTOTAL",$L$16:$AA$16)</f>
        <v>208.02072480741194</v>
      </c>
    </row>
    <row r="17" spans="1:28" ht="11.25" customHeight="1" x14ac:dyDescent="0.3">
      <c r="A17" s="102"/>
      <c r="B17" s="102"/>
      <c r="C17" s="102"/>
      <c r="D17" s="22" t="s">
        <v>28</v>
      </c>
      <c r="E17" s="22" t="s">
        <v>25</v>
      </c>
      <c r="F17" s="22" t="s">
        <v>25</v>
      </c>
      <c r="G17" s="23" t="s">
        <v>74</v>
      </c>
      <c r="H17" s="23" t="s">
        <v>68</v>
      </c>
      <c r="I17" s="23">
        <f>'MERCADO TE'!$U$14</f>
        <v>0</v>
      </c>
      <c r="J17" s="15"/>
      <c r="L17" s="20">
        <f>'TR TE'!$L$17*'TR TE'!$L$48</f>
        <v>0</v>
      </c>
      <c r="M17" s="20">
        <f>'TR TE'!$M$17*'TR TE'!$M$48</f>
        <v>15.999596213872602</v>
      </c>
      <c r="N17" s="20">
        <f>'TR TE'!$N$17*'TR TE'!$N$48</f>
        <v>0</v>
      </c>
      <c r="O17" s="20">
        <f>'TR TE'!$O$17*'TR TE'!$O$48</f>
        <v>0</v>
      </c>
      <c r="P17" s="20">
        <f>'TR TE'!$P$17*'TR TE'!$P$48</f>
        <v>0</v>
      </c>
      <c r="Q17" s="20">
        <f>SUM($L$17:$P$17)</f>
        <v>15.999596213872602</v>
      </c>
      <c r="R17" s="20">
        <f>'TR TE'!$R$17*'TR TE'!$R$48</f>
        <v>192.02112859353934</v>
      </c>
      <c r="S17" s="20">
        <f>SUM($R$17:$R$17)</f>
        <v>192.02112859353934</v>
      </c>
      <c r="T17" s="20">
        <f>'TR TE'!$T$17*'TR TE'!$T$48</f>
        <v>0</v>
      </c>
      <c r="U17" s="20">
        <f>'TR TE'!$U$17*'TR TE'!$U$48</f>
        <v>0</v>
      </c>
      <c r="V17" s="20">
        <f>'TR TE'!$V$17*'TR TE'!$V$48</f>
        <v>0</v>
      </c>
      <c r="W17" s="20">
        <f>SUM($T$17:$V$17)</f>
        <v>0</v>
      </c>
      <c r="X17" s="20"/>
      <c r="Y17" s="20">
        <f>SUM($X$17:$X$17)</f>
        <v>0</v>
      </c>
      <c r="Z17" s="20">
        <f>'TR TE'!$Z$17*'TR TE'!$Z$48</f>
        <v>0</v>
      </c>
      <c r="AA17" s="20">
        <f>SUM($Z$17:$Z$17)</f>
        <v>0</v>
      </c>
      <c r="AB17" s="20">
        <f>SUMIF($L$4:$AA$4,"SUBTOTAL",$L$17:$AA$17)</f>
        <v>208.02072480741194</v>
      </c>
    </row>
    <row r="18" spans="1:28" ht="11.25" customHeight="1" x14ac:dyDescent="0.3">
      <c r="A18" s="102"/>
      <c r="B18" s="102"/>
      <c r="C18" s="102"/>
      <c r="D18" s="22" t="s">
        <v>29</v>
      </c>
      <c r="E18" s="22" t="s">
        <v>25</v>
      </c>
      <c r="F18" s="22" t="s">
        <v>25</v>
      </c>
      <c r="G18" s="23" t="s">
        <v>74</v>
      </c>
      <c r="H18" s="23" t="s">
        <v>68</v>
      </c>
      <c r="I18" s="23">
        <f>'MERCADO TE'!$U$15</f>
        <v>0</v>
      </c>
      <c r="J18" s="15"/>
      <c r="L18" s="20">
        <f>'TR TE'!$L$18*'TR TE'!$L$48</f>
        <v>0</v>
      </c>
      <c r="M18" s="20">
        <f>'TR TE'!$M$18*'TR TE'!$M$48</f>
        <v>15.999596213872602</v>
      </c>
      <c r="N18" s="20">
        <f>'TR TE'!$N$18*'TR TE'!$N$48</f>
        <v>0</v>
      </c>
      <c r="O18" s="20">
        <f>'TR TE'!$O$18*'TR TE'!$O$48</f>
        <v>0</v>
      </c>
      <c r="P18" s="20">
        <f>'TR TE'!$P$18*'TR TE'!$P$48</f>
        <v>0</v>
      </c>
      <c r="Q18" s="20">
        <f>SUM($L$18:$P$18)</f>
        <v>15.999596213872602</v>
      </c>
      <c r="R18" s="20">
        <f>'TR TE'!$R$18*'TR TE'!$R$48</f>
        <v>192.02112859353934</v>
      </c>
      <c r="S18" s="20">
        <f>SUM($R$18:$R$18)</f>
        <v>192.02112859353934</v>
      </c>
      <c r="T18" s="20">
        <f>'TR TE'!$T$18*'TR TE'!$T$48</f>
        <v>0</v>
      </c>
      <c r="U18" s="20">
        <f>'TR TE'!$U$18*'TR TE'!$U$48</f>
        <v>0</v>
      </c>
      <c r="V18" s="20">
        <f>'TR TE'!$V$18*'TR TE'!$V$48</f>
        <v>0</v>
      </c>
      <c r="W18" s="20">
        <f>SUM($T$18:$V$18)</f>
        <v>0</v>
      </c>
      <c r="X18" s="20"/>
      <c r="Y18" s="20">
        <f>SUM($X$18:$X$18)</f>
        <v>0</v>
      </c>
      <c r="Z18" s="20">
        <f>'TR TE'!$Z$18*'TR TE'!$Z$48</f>
        <v>0</v>
      </c>
      <c r="AA18" s="20">
        <f>SUM($Z$18:$Z$18)</f>
        <v>0</v>
      </c>
      <c r="AB18" s="20">
        <f>SUMIF($L$4:$AA$4,"SUBTOTAL",$L$18:$AA$18)</f>
        <v>208.02072480741194</v>
      </c>
    </row>
    <row r="19" spans="1:28" ht="11.25" customHeight="1" x14ac:dyDescent="0.3">
      <c r="A19" s="102"/>
      <c r="B19" s="102"/>
      <c r="C19" s="102"/>
      <c r="D19" s="22" t="s">
        <v>30</v>
      </c>
      <c r="E19" s="22" t="s">
        <v>25</v>
      </c>
      <c r="F19" s="22" t="s">
        <v>25</v>
      </c>
      <c r="G19" s="23" t="s">
        <v>74</v>
      </c>
      <c r="H19" s="23" t="s">
        <v>68</v>
      </c>
      <c r="I19" s="23">
        <f>'MERCADO TE'!$U$16</f>
        <v>0</v>
      </c>
      <c r="J19" s="15"/>
      <c r="L19" s="20">
        <f>'TR TE'!$L$19*'TR TE'!$L$48</f>
        <v>0</v>
      </c>
      <c r="M19" s="20">
        <f>'TR TE'!$M$19*'TR TE'!$M$48</f>
        <v>15.999596213872602</v>
      </c>
      <c r="N19" s="20">
        <f>'TR TE'!$N$19*'TR TE'!$N$48</f>
        <v>0</v>
      </c>
      <c r="O19" s="20">
        <f>'TR TE'!$O$19*'TR TE'!$O$48</f>
        <v>0</v>
      </c>
      <c r="P19" s="20">
        <f>'TR TE'!$P$19*'TR TE'!$P$48</f>
        <v>0</v>
      </c>
      <c r="Q19" s="20">
        <f>SUM($L$19:$P$19)</f>
        <v>15.999596213872602</v>
      </c>
      <c r="R19" s="20">
        <f>'TR TE'!$R$19*'TR TE'!$R$48</f>
        <v>192.02112859353934</v>
      </c>
      <c r="S19" s="20">
        <f>SUM($R$19:$R$19)</f>
        <v>192.02112859353934</v>
      </c>
      <c r="T19" s="20">
        <f>'TR TE'!$T$19*'TR TE'!$T$48</f>
        <v>0</v>
      </c>
      <c r="U19" s="20">
        <f>'TR TE'!$U$19*'TR TE'!$U$48</f>
        <v>0</v>
      </c>
      <c r="V19" s="20">
        <f>'TR TE'!$V$19*'TR TE'!$V$48</f>
        <v>0</v>
      </c>
      <c r="W19" s="20">
        <f>SUM($T$19:$V$19)</f>
        <v>0</v>
      </c>
      <c r="X19" s="20"/>
      <c r="Y19" s="20">
        <f>SUM($X$19:$X$19)</f>
        <v>0</v>
      </c>
      <c r="Z19" s="20">
        <f>'TR TE'!$Z$19*'TR TE'!$Z$48</f>
        <v>0</v>
      </c>
      <c r="AA19" s="20">
        <f>SUM($Z$19:$Z$19)</f>
        <v>0</v>
      </c>
      <c r="AB19" s="20">
        <f>SUMIF($L$4:$AA$4,"SUBTOTAL",$L$19:$AA$19)</f>
        <v>208.02072480741194</v>
      </c>
    </row>
    <row r="20" spans="1:28" ht="11.25" customHeight="1" x14ac:dyDescent="0.3">
      <c r="A20" s="102" t="s">
        <v>39</v>
      </c>
      <c r="B20" s="102" t="s">
        <v>67</v>
      </c>
      <c r="C20" s="102" t="s">
        <v>40</v>
      </c>
      <c r="D20" s="102" t="s">
        <v>25</v>
      </c>
      <c r="E20" s="102" t="s">
        <v>25</v>
      </c>
      <c r="F20" s="102" t="s">
        <v>25</v>
      </c>
      <c r="G20" s="23" t="s">
        <v>69</v>
      </c>
      <c r="H20" s="23" t="s">
        <v>68</v>
      </c>
      <c r="I20" s="23">
        <f>'MERCADO TE'!$U$17</f>
        <v>0</v>
      </c>
      <c r="J20" s="15"/>
      <c r="L20" s="20">
        <f>'TR TE'!$L$20*'TR TE'!$L$48</f>
        <v>0</v>
      </c>
      <c r="M20" s="20">
        <f>'TR TE'!$M$20*'TR TE'!$M$48</f>
        <v>15.999596213872602</v>
      </c>
      <c r="N20" s="20">
        <f>'TR TE'!$N$20*'TR TE'!$N$48</f>
        <v>0</v>
      </c>
      <c r="O20" s="20">
        <f>'TR TE'!$O$20*'TR TE'!$O$48</f>
        <v>0</v>
      </c>
      <c r="P20" s="20">
        <f>'TR TE'!$P$20*'TR TE'!$P$48</f>
        <v>0</v>
      </c>
      <c r="Q20" s="20">
        <f>SUM($L$20:$P$20)</f>
        <v>15.999596213872602</v>
      </c>
      <c r="R20" s="20">
        <f>'TR TE'!$R$20*'TR TE'!$R$48</f>
        <v>192.02112859353934</v>
      </c>
      <c r="S20" s="20">
        <f>SUM($R$20:$R$20)</f>
        <v>192.02112859353934</v>
      </c>
      <c r="T20" s="20">
        <f>'TR TE'!$T$20*'TR TE'!$T$48</f>
        <v>0</v>
      </c>
      <c r="U20" s="20">
        <f>'TR TE'!$U$20*'TR TE'!$U$48</f>
        <v>0</v>
      </c>
      <c r="V20" s="20">
        <f>'TR TE'!$V$20*'TR TE'!$V$48</f>
        <v>0</v>
      </c>
      <c r="W20" s="20">
        <f>SUM($T$20:$V$20)</f>
        <v>0</v>
      </c>
      <c r="X20" s="20"/>
      <c r="Y20" s="20">
        <f>SUM($X$20:$X$20)</f>
        <v>0</v>
      </c>
      <c r="Z20" s="20">
        <f>'TR TE'!$Z$20*'TR TE'!$Z$48</f>
        <v>0</v>
      </c>
      <c r="AA20" s="20">
        <f>SUM($Z$20:$Z$20)</f>
        <v>0</v>
      </c>
      <c r="AB20" s="20">
        <f>SUMIF($L$4:$AA$4,"SUBTOTAL",$L$20:$AA$20)</f>
        <v>208.02072480741194</v>
      </c>
    </row>
    <row r="21" spans="1:28" ht="11.25" customHeight="1" x14ac:dyDescent="0.3">
      <c r="A21" s="102"/>
      <c r="B21" s="102"/>
      <c r="C21" s="102"/>
      <c r="D21" s="102"/>
      <c r="E21" s="102"/>
      <c r="F21" s="102"/>
      <c r="G21" s="23" t="s">
        <v>80</v>
      </c>
      <c r="H21" s="23" t="s">
        <v>68</v>
      </c>
      <c r="I21" s="23">
        <f>'MERCADO TE'!$U$18</f>
        <v>0</v>
      </c>
      <c r="J21" s="15"/>
      <c r="L21" s="20">
        <f>'TR TE'!$L$21*'TR TE'!$L$48</f>
        <v>0</v>
      </c>
      <c r="M21" s="20">
        <f>'TR TE'!$M$21*'TR TE'!$M$48</f>
        <v>15.999596213872602</v>
      </c>
      <c r="N21" s="20">
        <f>'TR TE'!$N$21*'TR TE'!$N$48</f>
        <v>0</v>
      </c>
      <c r="O21" s="20">
        <f>'TR TE'!$O$21*'TR TE'!$O$48</f>
        <v>0</v>
      </c>
      <c r="P21" s="20">
        <f>'TR TE'!$P$21*'TR TE'!$P$48</f>
        <v>0</v>
      </c>
      <c r="Q21" s="20">
        <f>SUM($L$21:$P$21)</f>
        <v>15.999596213872602</v>
      </c>
      <c r="R21" s="20">
        <f>'TR TE'!$R$21*'TR TE'!$R$48</f>
        <v>192.02112859353934</v>
      </c>
      <c r="S21" s="20">
        <f>SUM($R$21:$R$21)</f>
        <v>192.02112859353934</v>
      </c>
      <c r="T21" s="20">
        <f>'TR TE'!$T$21*'TR TE'!$T$48</f>
        <v>0</v>
      </c>
      <c r="U21" s="20">
        <f>'TR TE'!$U$21*'TR TE'!$U$48</f>
        <v>0</v>
      </c>
      <c r="V21" s="20">
        <f>'TR TE'!$V$21*'TR TE'!$V$48</f>
        <v>0</v>
      </c>
      <c r="W21" s="20">
        <f>SUM($T$21:$V$21)</f>
        <v>0</v>
      </c>
      <c r="X21" s="20"/>
      <c r="Y21" s="20">
        <f>SUM($X$21:$X$21)</f>
        <v>0</v>
      </c>
      <c r="Z21" s="20">
        <f>'TR TE'!$Z$21*'TR TE'!$Z$48</f>
        <v>0</v>
      </c>
      <c r="AA21" s="20">
        <f>SUM($Z$21:$Z$21)</f>
        <v>0</v>
      </c>
      <c r="AB21" s="20">
        <f>SUMIF($L$4:$AA$4,"SUBTOTAL",$L$21:$AA$21)</f>
        <v>208.02072480741194</v>
      </c>
    </row>
    <row r="22" spans="1:28" ht="11.25" customHeight="1" x14ac:dyDescent="0.3">
      <c r="A22" s="102"/>
      <c r="B22" s="102"/>
      <c r="C22" s="102"/>
      <c r="D22" s="102"/>
      <c r="E22" s="102"/>
      <c r="F22" s="102"/>
      <c r="G22" s="23" t="s">
        <v>70</v>
      </c>
      <c r="H22" s="23" t="s">
        <v>68</v>
      </c>
      <c r="I22" s="23">
        <f>'MERCADO TE'!$U$19</f>
        <v>0</v>
      </c>
      <c r="J22" s="15"/>
      <c r="L22" s="20">
        <f>'TR TE'!$L$22*'TR TE'!$L$48</f>
        <v>0</v>
      </c>
      <c r="M22" s="20">
        <f>'TR TE'!$M$22*'TR TE'!$M$48</f>
        <v>15.999596213872602</v>
      </c>
      <c r="N22" s="20">
        <f>'TR TE'!$N$22*'TR TE'!$N$48</f>
        <v>0</v>
      </c>
      <c r="O22" s="20">
        <f>'TR TE'!$O$22*'TR TE'!$O$48</f>
        <v>0</v>
      </c>
      <c r="P22" s="20">
        <f>'TR TE'!$P$22*'TR TE'!$P$48</f>
        <v>0</v>
      </c>
      <c r="Q22" s="20">
        <f>SUM($L$22:$P$22)</f>
        <v>15.999596213872602</v>
      </c>
      <c r="R22" s="20">
        <f>'TR TE'!$R$22*'TR TE'!$R$48</f>
        <v>192.02112859353934</v>
      </c>
      <c r="S22" s="20">
        <f>SUM($R$22:$R$22)</f>
        <v>192.02112859353934</v>
      </c>
      <c r="T22" s="20">
        <f>'TR TE'!$T$22*'TR TE'!$T$48</f>
        <v>0</v>
      </c>
      <c r="U22" s="20">
        <f>'TR TE'!$U$22*'TR TE'!$U$48</f>
        <v>0</v>
      </c>
      <c r="V22" s="20">
        <f>'TR TE'!$V$22*'TR TE'!$V$48</f>
        <v>0</v>
      </c>
      <c r="W22" s="20">
        <f>SUM($T$22:$V$22)</f>
        <v>0</v>
      </c>
      <c r="X22" s="20"/>
      <c r="Y22" s="20">
        <f>SUM($X$22:$X$22)</f>
        <v>0</v>
      </c>
      <c r="Z22" s="20">
        <f>'TR TE'!$Z$22*'TR TE'!$Z$48</f>
        <v>0</v>
      </c>
      <c r="AA22" s="20">
        <f>SUM($Z$22:$Z$22)</f>
        <v>0</v>
      </c>
      <c r="AB22" s="20">
        <f>SUMIF($L$4:$AA$4,"SUBTOTAL",$L$22:$AA$22)</f>
        <v>208.02072480741194</v>
      </c>
    </row>
    <row r="23" spans="1:28" ht="11.25" customHeight="1" x14ac:dyDescent="0.3">
      <c r="A23" s="102"/>
      <c r="B23" s="22" t="s">
        <v>81</v>
      </c>
      <c r="C23" s="22" t="s">
        <v>40</v>
      </c>
      <c r="D23" s="22" t="s">
        <v>25</v>
      </c>
      <c r="E23" s="22" t="s">
        <v>25</v>
      </c>
      <c r="F23" s="22" t="s">
        <v>25</v>
      </c>
      <c r="G23" s="23" t="s">
        <v>74</v>
      </c>
      <c r="H23" s="23" t="s">
        <v>68</v>
      </c>
      <c r="I23" s="23">
        <f>'MERCADO TE'!$U$20</f>
        <v>5733.0710000000008</v>
      </c>
      <c r="J23" s="15"/>
      <c r="L23" s="20">
        <f>'TR TE'!$L$23*'TR TE'!$L$48</f>
        <v>0</v>
      </c>
      <c r="M23" s="20">
        <f>'TR TE'!$M$23*'TR TE'!$M$48</f>
        <v>15.999596213872602</v>
      </c>
      <c r="N23" s="20">
        <f>'TR TE'!$N$23*'TR TE'!$N$48</f>
        <v>0</v>
      </c>
      <c r="O23" s="20">
        <f>'TR TE'!$O$23*'TR TE'!$O$48</f>
        <v>0</v>
      </c>
      <c r="P23" s="20">
        <f>'TR TE'!$P$23*'TR TE'!$P$48</f>
        <v>0</v>
      </c>
      <c r="Q23" s="20">
        <f>SUM($L$23:$P$23)</f>
        <v>15.999596213872602</v>
      </c>
      <c r="R23" s="20">
        <f>'TR TE'!$R$23*'TR TE'!$R$48</f>
        <v>192.02112859353934</v>
      </c>
      <c r="S23" s="20">
        <f>SUM($R$23:$R$23)</f>
        <v>192.02112859353934</v>
      </c>
      <c r="T23" s="20">
        <f>'TR TE'!$T$23*'TR TE'!$T$48</f>
        <v>0</v>
      </c>
      <c r="U23" s="20">
        <f>'TR TE'!$U$23*'TR TE'!$U$48</f>
        <v>0</v>
      </c>
      <c r="V23" s="20">
        <f>'TR TE'!$V$23*'TR TE'!$V$48</f>
        <v>0</v>
      </c>
      <c r="W23" s="20">
        <f>SUM($T$23:$V$23)</f>
        <v>0</v>
      </c>
      <c r="X23" s="20"/>
      <c r="Y23" s="20">
        <f>SUM($X$23:$X$23)</f>
        <v>0</v>
      </c>
      <c r="Z23" s="20">
        <f>'TR TE'!$Z$23*'TR TE'!$Z$48</f>
        <v>0</v>
      </c>
      <c r="AA23" s="20">
        <f>SUM($Z$23:$Z$23)</f>
        <v>0</v>
      </c>
      <c r="AB23" s="20">
        <f>SUMIF($L$4:$AA$4,"SUBTOTAL",$L$23:$AA$23)</f>
        <v>208.02072480741194</v>
      </c>
    </row>
    <row r="24" spans="1:28" ht="11.25" customHeight="1" x14ac:dyDescent="0.3">
      <c r="A24" s="102"/>
      <c r="B24" s="102" t="s">
        <v>67</v>
      </c>
      <c r="C24" s="102" t="s">
        <v>40</v>
      </c>
      <c r="D24" s="102" t="s">
        <v>85</v>
      </c>
      <c r="E24" s="102" t="s">
        <v>25</v>
      </c>
      <c r="F24" s="102" t="s">
        <v>25</v>
      </c>
      <c r="G24" s="23" t="s">
        <v>69</v>
      </c>
      <c r="H24" s="23" t="s">
        <v>68</v>
      </c>
      <c r="I24" s="23">
        <f>'MERCADO TE'!$U$21</f>
        <v>0</v>
      </c>
      <c r="J24" s="15"/>
      <c r="L24" s="20">
        <f>'TR TE'!$L$24*'TR TE'!$L$48</f>
        <v>0</v>
      </c>
      <c r="M24" s="20">
        <f>'TR TE'!$M$24*'TR TE'!$M$48</f>
        <v>15.999596213872602</v>
      </c>
      <c r="N24" s="20">
        <f>'TR TE'!$N$24*'TR TE'!$N$48</f>
        <v>0</v>
      </c>
      <c r="O24" s="20">
        <f>'TR TE'!$O$24*'TR TE'!$O$48</f>
        <v>0</v>
      </c>
      <c r="P24" s="20">
        <f>'TR TE'!$P$24*'TR TE'!$P$48</f>
        <v>0</v>
      </c>
      <c r="Q24" s="20">
        <f>SUM($L$24:$P$24)</f>
        <v>15.999596213872602</v>
      </c>
      <c r="R24" s="20">
        <f>'TR TE'!$R$24*'TR TE'!$R$48</f>
        <v>192.02112859353934</v>
      </c>
      <c r="S24" s="20">
        <f>SUM($R$24:$R$24)</f>
        <v>192.02112859353934</v>
      </c>
      <c r="T24" s="20">
        <f>'TR TE'!$T$24*'TR TE'!$T$48</f>
        <v>0</v>
      </c>
      <c r="U24" s="20">
        <f>'TR TE'!$U$24*'TR TE'!$U$48</f>
        <v>0</v>
      </c>
      <c r="V24" s="20">
        <f>'TR TE'!$V$24*'TR TE'!$V$48</f>
        <v>0</v>
      </c>
      <c r="W24" s="20">
        <f>SUM($T$24:$V$24)</f>
        <v>0</v>
      </c>
      <c r="X24" s="20"/>
      <c r="Y24" s="20">
        <f>SUM($X$24:$X$24)</f>
        <v>0</v>
      </c>
      <c r="Z24" s="20">
        <f>'TR TE'!$Z$24*'TR TE'!$Z$48</f>
        <v>0</v>
      </c>
      <c r="AA24" s="20">
        <f>SUM($Z$24:$Z$24)</f>
        <v>0</v>
      </c>
      <c r="AB24" s="20">
        <f>SUMIF($L$4:$AA$4,"SUBTOTAL",$L$24:$AA$24)</f>
        <v>208.02072480741194</v>
      </c>
    </row>
    <row r="25" spans="1:28" ht="11.25" customHeight="1" x14ac:dyDescent="0.3">
      <c r="A25" s="102"/>
      <c r="B25" s="102"/>
      <c r="C25" s="102"/>
      <c r="D25" s="102"/>
      <c r="E25" s="102"/>
      <c r="F25" s="102"/>
      <c r="G25" s="23" t="s">
        <v>80</v>
      </c>
      <c r="H25" s="23" t="s">
        <v>68</v>
      </c>
      <c r="I25" s="23">
        <f>'MERCADO TE'!$U$22</f>
        <v>0</v>
      </c>
      <c r="J25" s="15"/>
      <c r="L25" s="20">
        <f>'TR TE'!$L$25*'TR TE'!$L$48</f>
        <v>0</v>
      </c>
      <c r="M25" s="20">
        <f>'TR TE'!$M$25*'TR TE'!$M$48</f>
        <v>15.999596213872602</v>
      </c>
      <c r="N25" s="20">
        <f>'TR TE'!$N$25*'TR TE'!$N$48</f>
        <v>0</v>
      </c>
      <c r="O25" s="20">
        <f>'TR TE'!$O$25*'TR TE'!$O$48</f>
        <v>0</v>
      </c>
      <c r="P25" s="20">
        <f>'TR TE'!$P$25*'TR TE'!$P$48</f>
        <v>0</v>
      </c>
      <c r="Q25" s="20">
        <f>SUM($L$25:$P$25)</f>
        <v>15.999596213872602</v>
      </c>
      <c r="R25" s="20">
        <f>'TR TE'!$R$25*'TR TE'!$R$48</f>
        <v>192.02112859353934</v>
      </c>
      <c r="S25" s="20">
        <f>SUM($R$25:$R$25)</f>
        <v>192.02112859353934</v>
      </c>
      <c r="T25" s="20">
        <f>'TR TE'!$T$25*'TR TE'!$T$48</f>
        <v>0</v>
      </c>
      <c r="U25" s="20">
        <f>'TR TE'!$U$25*'TR TE'!$U$48</f>
        <v>0</v>
      </c>
      <c r="V25" s="20">
        <f>'TR TE'!$V$25*'TR TE'!$V$48</f>
        <v>0</v>
      </c>
      <c r="W25" s="20">
        <f>SUM($T$25:$V$25)</f>
        <v>0</v>
      </c>
      <c r="X25" s="20"/>
      <c r="Y25" s="20">
        <f>SUM($X$25:$X$25)</f>
        <v>0</v>
      </c>
      <c r="Z25" s="20">
        <f>'TR TE'!$Z$25*'TR TE'!$Z$48</f>
        <v>0</v>
      </c>
      <c r="AA25" s="20">
        <f>SUM($Z$25:$Z$25)</f>
        <v>0</v>
      </c>
      <c r="AB25" s="20">
        <f>SUMIF($L$4:$AA$4,"SUBTOTAL",$L$25:$AA$25)</f>
        <v>208.02072480741194</v>
      </c>
    </row>
    <row r="26" spans="1:28" ht="11.25" customHeight="1" x14ac:dyDescent="0.3">
      <c r="A26" s="102"/>
      <c r="B26" s="102"/>
      <c r="C26" s="102"/>
      <c r="D26" s="102"/>
      <c r="E26" s="102"/>
      <c r="F26" s="102"/>
      <c r="G26" s="23" t="s">
        <v>70</v>
      </c>
      <c r="H26" s="23" t="s">
        <v>68</v>
      </c>
      <c r="I26" s="23">
        <f>'MERCADO TE'!$U$23</f>
        <v>0</v>
      </c>
      <c r="J26" s="15"/>
      <c r="L26" s="20">
        <f>'TR TE'!$L$26*'TR TE'!$L$48</f>
        <v>0</v>
      </c>
      <c r="M26" s="20">
        <f>'TR TE'!$M$26*'TR TE'!$M$48</f>
        <v>15.999596213872602</v>
      </c>
      <c r="N26" s="20">
        <f>'TR TE'!$N$26*'TR TE'!$N$48</f>
        <v>0</v>
      </c>
      <c r="O26" s="20">
        <f>'TR TE'!$O$26*'TR TE'!$O$48</f>
        <v>0</v>
      </c>
      <c r="P26" s="20">
        <f>'TR TE'!$P$26*'TR TE'!$P$48</f>
        <v>0</v>
      </c>
      <c r="Q26" s="20">
        <f>SUM($L$26:$P$26)</f>
        <v>15.999596213872602</v>
      </c>
      <c r="R26" s="20">
        <f>'TR TE'!$R$26*'TR TE'!$R$48</f>
        <v>192.02112859353934</v>
      </c>
      <c r="S26" s="20">
        <f>SUM($R$26:$R$26)</f>
        <v>192.02112859353934</v>
      </c>
      <c r="T26" s="20">
        <f>'TR TE'!$T$26*'TR TE'!$T$48</f>
        <v>0</v>
      </c>
      <c r="U26" s="20">
        <f>'TR TE'!$U$26*'TR TE'!$U$48</f>
        <v>0</v>
      </c>
      <c r="V26" s="20">
        <f>'TR TE'!$V$26*'TR TE'!$V$48</f>
        <v>0</v>
      </c>
      <c r="W26" s="20">
        <f>SUM($T$26:$V$26)</f>
        <v>0</v>
      </c>
      <c r="X26" s="20"/>
      <c r="Y26" s="20">
        <f>SUM($X$26:$X$26)</f>
        <v>0</v>
      </c>
      <c r="Z26" s="20">
        <f>'TR TE'!$Z$26*'TR TE'!$Z$48</f>
        <v>0</v>
      </c>
      <c r="AA26" s="20">
        <f>SUM($Z$26:$Z$26)</f>
        <v>0</v>
      </c>
      <c r="AB26" s="20">
        <f>SUMIF($L$4:$AA$4,"SUBTOTAL",$L$26:$AA$26)</f>
        <v>208.02072480741194</v>
      </c>
    </row>
    <row r="27" spans="1:28" ht="11.25" customHeight="1" x14ac:dyDescent="0.3">
      <c r="A27" s="102"/>
      <c r="B27" s="22" t="s">
        <v>81</v>
      </c>
      <c r="C27" s="22" t="s">
        <v>40</v>
      </c>
      <c r="D27" s="22" t="s">
        <v>85</v>
      </c>
      <c r="E27" s="22" t="s">
        <v>25</v>
      </c>
      <c r="F27" s="22" t="s">
        <v>25</v>
      </c>
      <c r="G27" s="23" t="s">
        <v>74</v>
      </c>
      <c r="H27" s="23" t="s">
        <v>68</v>
      </c>
      <c r="I27" s="23">
        <f>'MERCADO TE'!$U$24</f>
        <v>0</v>
      </c>
      <c r="J27" s="15"/>
      <c r="L27" s="20">
        <f>'TR TE'!$L$27*'TR TE'!$L$48</f>
        <v>0</v>
      </c>
      <c r="M27" s="20">
        <f>'TR TE'!$M$27*'TR TE'!$M$48</f>
        <v>15.999596213872602</v>
      </c>
      <c r="N27" s="20">
        <f>'TR TE'!$N$27*'TR TE'!$N$48</f>
        <v>0</v>
      </c>
      <c r="O27" s="20">
        <f>'TR TE'!$O$27*'TR TE'!$O$48</f>
        <v>0</v>
      </c>
      <c r="P27" s="20">
        <f>'TR TE'!$P$27*'TR TE'!$P$48</f>
        <v>0</v>
      </c>
      <c r="Q27" s="20">
        <f>SUM($L$27:$P$27)</f>
        <v>15.999596213872602</v>
      </c>
      <c r="R27" s="20">
        <f>'TR TE'!$R$27*'TR TE'!$R$48</f>
        <v>192.02112859353934</v>
      </c>
      <c r="S27" s="20">
        <f>SUM($R$27:$R$27)</f>
        <v>192.02112859353934</v>
      </c>
      <c r="T27" s="20">
        <f>'TR TE'!$T$27*'TR TE'!$T$48</f>
        <v>0</v>
      </c>
      <c r="U27" s="20">
        <f>'TR TE'!$U$27*'TR TE'!$U$48</f>
        <v>0</v>
      </c>
      <c r="V27" s="20">
        <f>'TR TE'!$V$27*'TR TE'!$V$48</f>
        <v>0</v>
      </c>
      <c r="W27" s="20">
        <f>SUM($T$27:$V$27)</f>
        <v>0</v>
      </c>
      <c r="X27" s="20"/>
      <c r="Y27" s="20">
        <f>SUM($X$27:$X$27)</f>
        <v>0</v>
      </c>
      <c r="Z27" s="20">
        <f>'TR TE'!$Z$27*'TR TE'!$Z$48</f>
        <v>0</v>
      </c>
      <c r="AA27" s="20">
        <f>SUM($Z$27:$Z$27)</f>
        <v>0</v>
      </c>
      <c r="AB27" s="20">
        <f>SUMIF($L$4:$AA$4,"SUBTOTAL",$L$27:$AA$27)</f>
        <v>208.02072480741194</v>
      </c>
    </row>
    <row r="28" spans="1:28" ht="11.25" customHeight="1" x14ac:dyDescent="0.3">
      <c r="A28" s="102"/>
      <c r="B28" s="102" t="s">
        <v>67</v>
      </c>
      <c r="C28" s="102" t="s">
        <v>40</v>
      </c>
      <c r="D28" s="102" t="s">
        <v>86</v>
      </c>
      <c r="E28" s="102" t="s">
        <v>25</v>
      </c>
      <c r="F28" s="102" t="s">
        <v>25</v>
      </c>
      <c r="G28" s="23" t="s">
        <v>69</v>
      </c>
      <c r="H28" s="23" t="s">
        <v>68</v>
      </c>
      <c r="I28" s="23">
        <f>'MERCADO TE'!$U$25</f>
        <v>0</v>
      </c>
      <c r="J28" s="15"/>
      <c r="L28" s="20">
        <f>'TR TE'!$L$28*'TR TE'!$L$48</f>
        <v>0</v>
      </c>
      <c r="M28" s="20">
        <f>'TR TE'!$M$28*'TR TE'!$M$48</f>
        <v>15.999596213872602</v>
      </c>
      <c r="N28" s="20">
        <f>'TR TE'!$N$28*'TR TE'!$N$48</f>
        <v>0</v>
      </c>
      <c r="O28" s="20">
        <f>'TR TE'!$O$28*'TR TE'!$O$48</f>
        <v>0</v>
      </c>
      <c r="P28" s="20">
        <f>'TR TE'!$P$28*'TR TE'!$P$48</f>
        <v>0</v>
      </c>
      <c r="Q28" s="20">
        <f>SUM($L$28:$P$28)</f>
        <v>15.999596213872602</v>
      </c>
      <c r="R28" s="20">
        <f>'TR TE'!$R$28*'TR TE'!$R$48</f>
        <v>192.02112859353934</v>
      </c>
      <c r="S28" s="20">
        <f>SUM($R$28:$R$28)</f>
        <v>192.02112859353934</v>
      </c>
      <c r="T28" s="20">
        <f>'TR TE'!$T$28*'TR TE'!$T$48</f>
        <v>0</v>
      </c>
      <c r="U28" s="20">
        <f>'TR TE'!$U$28*'TR TE'!$U$48</f>
        <v>0</v>
      </c>
      <c r="V28" s="20">
        <f>'TR TE'!$V$28*'TR TE'!$V$48</f>
        <v>0</v>
      </c>
      <c r="W28" s="20">
        <f>SUM($T$28:$V$28)</f>
        <v>0</v>
      </c>
      <c r="X28" s="20"/>
      <c r="Y28" s="20">
        <f>SUM($X$28:$X$28)</f>
        <v>0</v>
      </c>
      <c r="Z28" s="20">
        <f>'TR TE'!$Z$28*'TR TE'!$Z$48</f>
        <v>0</v>
      </c>
      <c r="AA28" s="20">
        <f>SUM($Z$28:$Z$28)</f>
        <v>0</v>
      </c>
      <c r="AB28" s="20">
        <f>SUMIF($L$4:$AA$4,"SUBTOTAL",$L$28:$AA$28)</f>
        <v>208.02072480741194</v>
      </c>
    </row>
    <row r="29" spans="1:28" ht="11.25" customHeight="1" x14ac:dyDescent="0.3">
      <c r="A29" s="102"/>
      <c r="B29" s="102"/>
      <c r="C29" s="102"/>
      <c r="D29" s="102"/>
      <c r="E29" s="102"/>
      <c r="F29" s="102"/>
      <c r="G29" s="23" t="s">
        <v>80</v>
      </c>
      <c r="H29" s="23" t="s">
        <v>68</v>
      </c>
      <c r="I29" s="23">
        <f>'MERCADO TE'!$U$26</f>
        <v>0</v>
      </c>
      <c r="J29" s="15"/>
      <c r="L29" s="20">
        <f>'TR TE'!$L$29*'TR TE'!$L$48</f>
        <v>0</v>
      </c>
      <c r="M29" s="20">
        <f>'TR TE'!$M$29*'TR TE'!$M$48</f>
        <v>15.999596213872602</v>
      </c>
      <c r="N29" s="20">
        <f>'TR TE'!$N$29*'TR TE'!$N$48</f>
        <v>0</v>
      </c>
      <c r="O29" s="20">
        <f>'TR TE'!$O$29*'TR TE'!$O$48</f>
        <v>0</v>
      </c>
      <c r="P29" s="20">
        <f>'TR TE'!$P$29*'TR TE'!$P$48</f>
        <v>0</v>
      </c>
      <c r="Q29" s="20">
        <f>SUM($L$29:$P$29)</f>
        <v>15.999596213872602</v>
      </c>
      <c r="R29" s="20">
        <f>'TR TE'!$R$29*'TR TE'!$R$48</f>
        <v>192.02112859353934</v>
      </c>
      <c r="S29" s="20">
        <f>SUM($R$29:$R$29)</f>
        <v>192.02112859353934</v>
      </c>
      <c r="T29" s="20">
        <f>'TR TE'!$T$29*'TR TE'!$T$48</f>
        <v>0</v>
      </c>
      <c r="U29" s="20">
        <f>'TR TE'!$U$29*'TR TE'!$U$48</f>
        <v>0</v>
      </c>
      <c r="V29" s="20">
        <f>'TR TE'!$V$29*'TR TE'!$V$48</f>
        <v>0</v>
      </c>
      <c r="W29" s="20">
        <f>SUM($T$29:$V$29)</f>
        <v>0</v>
      </c>
      <c r="X29" s="20"/>
      <c r="Y29" s="20">
        <f>SUM($X$29:$X$29)</f>
        <v>0</v>
      </c>
      <c r="Z29" s="20">
        <f>'TR TE'!$Z$29*'TR TE'!$Z$48</f>
        <v>0</v>
      </c>
      <c r="AA29" s="20">
        <f>SUM($Z$29:$Z$29)</f>
        <v>0</v>
      </c>
      <c r="AB29" s="20">
        <f>SUMIF($L$4:$AA$4,"SUBTOTAL",$L$29:$AA$29)</f>
        <v>208.02072480741194</v>
      </c>
    </row>
    <row r="30" spans="1:28" ht="11.25" customHeight="1" x14ac:dyDescent="0.3">
      <c r="A30" s="102"/>
      <c r="B30" s="102"/>
      <c r="C30" s="102"/>
      <c r="D30" s="102"/>
      <c r="E30" s="102"/>
      <c r="F30" s="102"/>
      <c r="G30" s="23" t="s">
        <v>70</v>
      </c>
      <c r="H30" s="23" t="s">
        <v>68</v>
      </c>
      <c r="I30" s="23">
        <f>'MERCADO TE'!$U$27</f>
        <v>0</v>
      </c>
      <c r="J30" s="15"/>
      <c r="L30" s="20">
        <f>'TR TE'!$L$30*'TR TE'!$L$48</f>
        <v>0</v>
      </c>
      <c r="M30" s="20">
        <f>'TR TE'!$M$30*'TR TE'!$M$48</f>
        <v>15.999596213872602</v>
      </c>
      <c r="N30" s="20">
        <f>'TR TE'!$N$30*'TR TE'!$N$48</f>
        <v>0</v>
      </c>
      <c r="O30" s="20">
        <f>'TR TE'!$O$30*'TR TE'!$O$48</f>
        <v>0</v>
      </c>
      <c r="P30" s="20">
        <f>'TR TE'!$P$30*'TR TE'!$P$48</f>
        <v>0</v>
      </c>
      <c r="Q30" s="20">
        <f>SUM($L$30:$P$30)</f>
        <v>15.999596213872602</v>
      </c>
      <c r="R30" s="20">
        <f>'TR TE'!$R$30*'TR TE'!$R$48</f>
        <v>192.02112859353934</v>
      </c>
      <c r="S30" s="20">
        <f>SUM($R$30:$R$30)</f>
        <v>192.02112859353934</v>
      </c>
      <c r="T30" s="20">
        <f>'TR TE'!$T$30*'TR TE'!$T$48</f>
        <v>0</v>
      </c>
      <c r="U30" s="20">
        <f>'TR TE'!$U$30*'TR TE'!$U$48</f>
        <v>0</v>
      </c>
      <c r="V30" s="20">
        <f>'TR TE'!$V$30*'TR TE'!$V$48</f>
        <v>0</v>
      </c>
      <c r="W30" s="20">
        <f>SUM($T$30:$V$30)</f>
        <v>0</v>
      </c>
      <c r="X30" s="20"/>
      <c r="Y30" s="20">
        <f>SUM($X$30:$X$30)</f>
        <v>0</v>
      </c>
      <c r="Z30" s="20">
        <f>'TR TE'!$Z$30*'TR TE'!$Z$48</f>
        <v>0</v>
      </c>
      <c r="AA30" s="20">
        <f>SUM($Z$30:$Z$30)</f>
        <v>0</v>
      </c>
      <c r="AB30" s="20">
        <f>SUMIF($L$4:$AA$4,"SUBTOTAL",$L$30:$AA$30)</f>
        <v>208.02072480741194</v>
      </c>
    </row>
    <row r="31" spans="1:28" ht="11.25" customHeight="1" x14ac:dyDescent="0.3">
      <c r="A31" s="102"/>
      <c r="B31" s="22" t="s">
        <v>81</v>
      </c>
      <c r="C31" s="22" t="s">
        <v>40</v>
      </c>
      <c r="D31" s="22" t="s">
        <v>86</v>
      </c>
      <c r="E31" s="22" t="s">
        <v>25</v>
      </c>
      <c r="F31" s="22" t="s">
        <v>25</v>
      </c>
      <c r="G31" s="23" t="s">
        <v>74</v>
      </c>
      <c r="H31" s="23" t="s">
        <v>68</v>
      </c>
      <c r="I31" s="23">
        <f>'MERCADO TE'!$U$28</f>
        <v>0</v>
      </c>
      <c r="J31" s="15"/>
      <c r="L31" s="20">
        <f>'TR TE'!$L$31*'TR TE'!$L$48</f>
        <v>0</v>
      </c>
      <c r="M31" s="20">
        <f>'TR TE'!$M$31*'TR TE'!$M$48</f>
        <v>15.999596213872602</v>
      </c>
      <c r="N31" s="20">
        <f>'TR TE'!$N$31*'TR TE'!$N$48</f>
        <v>0</v>
      </c>
      <c r="O31" s="20">
        <f>'TR TE'!$O$31*'TR TE'!$O$48</f>
        <v>0</v>
      </c>
      <c r="P31" s="20">
        <f>'TR TE'!$P$31*'TR TE'!$P$48</f>
        <v>0</v>
      </c>
      <c r="Q31" s="20">
        <f>SUM($L$31:$P$31)</f>
        <v>15.999596213872602</v>
      </c>
      <c r="R31" s="20">
        <f>'TR TE'!$R$31*'TR TE'!$R$48</f>
        <v>192.02112859353934</v>
      </c>
      <c r="S31" s="20">
        <f>SUM($R$31:$R$31)</f>
        <v>192.02112859353934</v>
      </c>
      <c r="T31" s="20">
        <f>'TR TE'!$T$31*'TR TE'!$T$48</f>
        <v>0</v>
      </c>
      <c r="U31" s="20">
        <f>'TR TE'!$U$31*'TR TE'!$U$48</f>
        <v>0</v>
      </c>
      <c r="V31" s="20">
        <f>'TR TE'!$V$31*'TR TE'!$V$48</f>
        <v>0</v>
      </c>
      <c r="W31" s="20">
        <f>SUM($T$31:$V$31)</f>
        <v>0</v>
      </c>
      <c r="X31" s="20"/>
      <c r="Y31" s="20">
        <f>SUM($X$31:$X$31)</f>
        <v>0</v>
      </c>
      <c r="Z31" s="20">
        <f>'TR TE'!$Z$31*'TR TE'!$Z$48</f>
        <v>0</v>
      </c>
      <c r="AA31" s="20">
        <f>SUM($Z$31:$Z$31)</f>
        <v>0</v>
      </c>
      <c r="AB31" s="20">
        <f>SUMIF($L$4:$AA$4,"SUBTOTAL",$L$31:$AA$31)</f>
        <v>208.02072480741194</v>
      </c>
    </row>
    <row r="32" spans="1:28" ht="11.25" customHeight="1" x14ac:dyDescent="0.3">
      <c r="A32" s="102"/>
      <c r="B32" s="102" t="s">
        <v>83</v>
      </c>
      <c r="C32" s="102" t="s">
        <v>40</v>
      </c>
      <c r="D32" s="22" t="s">
        <v>25</v>
      </c>
      <c r="E32" s="22" t="s">
        <v>25</v>
      </c>
      <c r="F32" s="22" t="s">
        <v>25</v>
      </c>
      <c r="G32" s="23" t="s">
        <v>74</v>
      </c>
      <c r="H32" s="23" t="s">
        <v>68</v>
      </c>
      <c r="I32" s="23">
        <f>'MERCADO TE'!$U$29</f>
        <v>0</v>
      </c>
      <c r="J32" s="15"/>
      <c r="L32" s="20">
        <f>'TR TE'!$L$32*'TR TE'!$L$48</f>
        <v>0</v>
      </c>
      <c r="M32" s="20">
        <f>'TR TE'!$M$32*'TR TE'!$M$48</f>
        <v>15.999596213872602</v>
      </c>
      <c r="N32" s="20">
        <f>'TR TE'!$N$32*'TR TE'!$N$48</f>
        <v>0</v>
      </c>
      <c r="O32" s="20">
        <f>'TR TE'!$O$32*'TR TE'!$O$48</f>
        <v>0</v>
      </c>
      <c r="P32" s="20">
        <f>'TR TE'!$P$32*'TR TE'!$P$48</f>
        <v>0</v>
      </c>
      <c r="Q32" s="20">
        <f>SUM($L$32:$P$32)</f>
        <v>15.999596213872602</v>
      </c>
      <c r="R32" s="20">
        <f>'TR TE'!$R$32*'TR TE'!$R$48</f>
        <v>192.02112859353934</v>
      </c>
      <c r="S32" s="20">
        <f>SUM($R$32:$R$32)</f>
        <v>192.02112859353934</v>
      </c>
      <c r="T32" s="20">
        <f>'TR TE'!$T$32*'TR TE'!$T$48</f>
        <v>0</v>
      </c>
      <c r="U32" s="20">
        <f>'TR TE'!$U$32*'TR TE'!$U$48</f>
        <v>0</v>
      </c>
      <c r="V32" s="20">
        <f>'TR TE'!$V$32*'TR TE'!$V$48</f>
        <v>0</v>
      </c>
      <c r="W32" s="20">
        <f>SUM($T$32:$V$32)</f>
        <v>0</v>
      </c>
      <c r="X32" s="20"/>
      <c r="Y32" s="20">
        <f>SUM($X$32:$X$32)</f>
        <v>0</v>
      </c>
      <c r="Z32" s="20">
        <f>'TR TE'!$Z$32*'TR TE'!$Z$48</f>
        <v>0</v>
      </c>
      <c r="AA32" s="20">
        <f>SUM($Z$32:$Z$32)</f>
        <v>0</v>
      </c>
      <c r="AB32" s="20">
        <f>SUMIF($L$4:$AA$4,"SUBTOTAL",$L$32:$AA$32)</f>
        <v>208.02072480741194</v>
      </c>
    </row>
    <row r="33" spans="1:28" ht="11.25" customHeight="1" x14ac:dyDescent="0.3">
      <c r="A33" s="102"/>
      <c r="B33" s="102"/>
      <c r="C33" s="102"/>
      <c r="D33" s="22" t="s">
        <v>85</v>
      </c>
      <c r="E33" s="22" t="s">
        <v>25</v>
      </c>
      <c r="F33" s="22" t="s">
        <v>25</v>
      </c>
      <c r="G33" s="23" t="s">
        <v>74</v>
      </c>
      <c r="H33" s="23" t="s">
        <v>68</v>
      </c>
      <c r="I33" s="23">
        <f>'MERCADO TE'!$U$30</f>
        <v>0</v>
      </c>
      <c r="J33" s="15"/>
      <c r="L33" s="20">
        <f>'TR TE'!$L$33*'TR TE'!$L$48</f>
        <v>0</v>
      </c>
      <c r="M33" s="20">
        <f>'TR TE'!$M$33*'TR TE'!$M$48</f>
        <v>15.999596213872602</v>
      </c>
      <c r="N33" s="20">
        <f>'TR TE'!$N$33*'TR TE'!$N$48</f>
        <v>0</v>
      </c>
      <c r="O33" s="20">
        <f>'TR TE'!$O$33*'TR TE'!$O$48</f>
        <v>0</v>
      </c>
      <c r="P33" s="20">
        <f>'TR TE'!$P$33*'TR TE'!$P$48</f>
        <v>0</v>
      </c>
      <c r="Q33" s="20">
        <f>SUM($L$33:$P$33)</f>
        <v>15.999596213872602</v>
      </c>
      <c r="R33" s="20">
        <f>'TR TE'!$R$33*'TR TE'!$R$48</f>
        <v>192.02112859353934</v>
      </c>
      <c r="S33" s="20">
        <f>SUM($R$33:$R$33)</f>
        <v>192.02112859353934</v>
      </c>
      <c r="T33" s="20">
        <f>'TR TE'!$T$33*'TR TE'!$T$48</f>
        <v>0</v>
      </c>
      <c r="U33" s="20">
        <f>'TR TE'!$U$33*'TR TE'!$U$48</f>
        <v>0</v>
      </c>
      <c r="V33" s="20">
        <f>'TR TE'!$V$33*'TR TE'!$V$48</f>
        <v>0</v>
      </c>
      <c r="W33" s="20">
        <f>SUM($T$33:$V$33)</f>
        <v>0</v>
      </c>
      <c r="X33" s="20"/>
      <c r="Y33" s="20">
        <f>SUM($X$33:$X$33)</f>
        <v>0</v>
      </c>
      <c r="Z33" s="20">
        <f>'TR TE'!$Z$33*'TR TE'!$Z$48</f>
        <v>0</v>
      </c>
      <c r="AA33" s="20">
        <f>SUM($Z$33:$Z$33)</f>
        <v>0</v>
      </c>
      <c r="AB33" s="20">
        <f>SUMIF($L$4:$AA$4,"SUBTOTAL",$L$33:$AA$33)</f>
        <v>208.02072480741194</v>
      </c>
    </row>
    <row r="34" spans="1:28" ht="11.25" customHeight="1" x14ac:dyDescent="0.3">
      <c r="A34" s="102"/>
      <c r="B34" s="102"/>
      <c r="C34" s="102"/>
      <c r="D34" s="22" t="s">
        <v>86</v>
      </c>
      <c r="E34" s="22" t="s">
        <v>25</v>
      </c>
      <c r="F34" s="22" t="s">
        <v>25</v>
      </c>
      <c r="G34" s="23" t="s">
        <v>74</v>
      </c>
      <c r="H34" s="23" t="s">
        <v>68</v>
      </c>
      <c r="I34" s="23">
        <f>'MERCADO TE'!$U$31</f>
        <v>0</v>
      </c>
      <c r="J34" s="15"/>
      <c r="L34" s="20">
        <f>'TR TE'!$L$34*'TR TE'!$L$48</f>
        <v>0</v>
      </c>
      <c r="M34" s="20">
        <f>'TR TE'!$M$34*'TR TE'!$M$48</f>
        <v>15.999596213872602</v>
      </c>
      <c r="N34" s="20">
        <f>'TR TE'!$N$34*'TR TE'!$N$48</f>
        <v>0</v>
      </c>
      <c r="O34" s="20">
        <f>'TR TE'!$O$34*'TR TE'!$O$48</f>
        <v>0</v>
      </c>
      <c r="P34" s="20">
        <f>'TR TE'!$P$34*'TR TE'!$P$48</f>
        <v>0</v>
      </c>
      <c r="Q34" s="20">
        <f>SUM($L$34:$P$34)</f>
        <v>15.999596213872602</v>
      </c>
      <c r="R34" s="20">
        <f>'TR TE'!$R$34*'TR TE'!$R$48</f>
        <v>192.02112859353934</v>
      </c>
      <c r="S34" s="20">
        <f>SUM($R$34:$R$34)</f>
        <v>192.02112859353934</v>
      </c>
      <c r="T34" s="20">
        <f>'TR TE'!$T$34*'TR TE'!$T$48</f>
        <v>0</v>
      </c>
      <c r="U34" s="20">
        <f>'TR TE'!$U$34*'TR TE'!$U$48</f>
        <v>0</v>
      </c>
      <c r="V34" s="20">
        <f>'TR TE'!$V$34*'TR TE'!$V$48</f>
        <v>0</v>
      </c>
      <c r="W34" s="20">
        <f>SUM($T$34:$V$34)</f>
        <v>0</v>
      </c>
      <c r="X34" s="20"/>
      <c r="Y34" s="20">
        <f>SUM($X$34:$X$34)</f>
        <v>0</v>
      </c>
      <c r="Z34" s="20">
        <f>'TR TE'!$Z$34*'TR TE'!$Z$48</f>
        <v>0</v>
      </c>
      <c r="AA34" s="20">
        <f>SUM($Z$34:$Z$34)</f>
        <v>0</v>
      </c>
      <c r="AB34" s="20">
        <f>SUMIF($L$4:$AA$4,"SUBTOTAL",$L$34:$AA$34)</f>
        <v>208.02072480741194</v>
      </c>
    </row>
    <row r="35" spans="1:28" ht="11.25" customHeight="1" x14ac:dyDescent="0.3">
      <c r="A35" s="102" t="s">
        <v>31</v>
      </c>
      <c r="B35" s="102" t="s">
        <v>67</v>
      </c>
      <c r="C35" s="102" t="s">
        <v>25</v>
      </c>
      <c r="D35" s="102" t="s">
        <v>25</v>
      </c>
      <c r="E35" s="102" t="s">
        <v>25</v>
      </c>
      <c r="F35" s="102" t="s">
        <v>25</v>
      </c>
      <c r="G35" s="23" t="s">
        <v>69</v>
      </c>
      <c r="H35" s="23" t="s">
        <v>68</v>
      </c>
      <c r="I35" s="23">
        <f>'MERCADO TE'!$U$32</f>
        <v>0</v>
      </c>
      <c r="J35" s="15"/>
      <c r="L35" s="20">
        <f>'TR TE'!$L$35*'TR TE'!$L$48</f>
        <v>0</v>
      </c>
      <c r="M35" s="20">
        <f>'TR TE'!$M$35*'TR TE'!$M$48</f>
        <v>15.999596213872602</v>
      </c>
      <c r="N35" s="20">
        <f>'TR TE'!$N$35*'TR TE'!$N$48</f>
        <v>0</v>
      </c>
      <c r="O35" s="20">
        <f>'TR TE'!$O$35*'TR TE'!$O$48</f>
        <v>0</v>
      </c>
      <c r="P35" s="20">
        <f>'TR TE'!$P$35*'TR TE'!$P$48</f>
        <v>0</v>
      </c>
      <c r="Q35" s="20">
        <f>SUM($L$35:$P$35)</f>
        <v>15.999596213872602</v>
      </c>
      <c r="R35" s="20">
        <f>'TR TE'!$R$35*'TR TE'!$R$48</f>
        <v>192.02112859353934</v>
      </c>
      <c r="S35" s="20">
        <f>SUM($R$35:$R$35)</f>
        <v>192.02112859353934</v>
      </c>
      <c r="T35" s="20">
        <f>'TR TE'!$T$35*'TR TE'!$T$48</f>
        <v>0</v>
      </c>
      <c r="U35" s="20">
        <f>'TR TE'!$U$35*'TR TE'!$U$48</f>
        <v>0</v>
      </c>
      <c r="V35" s="20">
        <f>'TR TE'!$V$35*'TR TE'!$V$48</f>
        <v>0</v>
      </c>
      <c r="W35" s="20">
        <f>SUM($T$35:$V$35)</f>
        <v>0</v>
      </c>
      <c r="X35" s="20"/>
      <c r="Y35" s="20">
        <f>SUM($X$35:$X$35)</f>
        <v>0</v>
      </c>
      <c r="Z35" s="20">
        <f>'TR TE'!$Z$35*'TR TE'!$Z$48</f>
        <v>0</v>
      </c>
      <c r="AA35" s="20">
        <f>SUM($Z$35:$Z$35)</f>
        <v>0</v>
      </c>
      <c r="AB35" s="20">
        <f>SUMIF($L$4:$AA$4,"SUBTOTAL",$L$35:$AA$35)</f>
        <v>208.02072480741194</v>
      </c>
    </row>
    <row r="36" spans="1:28" ht="11.25" customHeight="1" x14ac:dyDescent="0.3">
      <c r="A36" s="102"/>
      <c r="B36" s="102"/>
      <c r="C36" s="102"/>
      <c r="D36" s="102"/>
      <c r="E36" s="102"/>
      <c r="F36" s="102"/>
      <c r="G36" s="23" t="s">
        <v>80</v>
      </c>
      <c r="H36" s="23" t="s">
        <v>68</v>
      </c>
      <c r="I36" s="23">
        <f>'MERCADO TE'!$U$33</f>
        <v>0</v>
      </c>
      <c r="J36" s="15"/>
      <c r="L36" s="20">
        <f>'TR TE'!$L$36*'TR TE'!$L$48</f>
        <v>0</v>
      </c>
      <c r="M36" s="20">
        <f>'TR TE'!$M$36*'TR TE'!$M$48</f>
        <v>15.999596213872602</v>
      </c>
      <c r="N36" s="20">
        <f>'TR TE'!$N$36*'TR TE'!$N$48</f>
        <v>0</v>
      </c>
      <c r="O36" s="20">
        <f>'TR TE'!$O$36*'TR TE'!$O$48</f>
        <v>0</v>
      </c>
      <c r="P36" s="20">
        <f>'TR TE'!$P$36*'TR TE'!$P$48</f>
        <v>0</v>
      </c>
      <c r="Q36" s="20">
        <f>SUM($L$36:$P$36)</f>
        <v>15.999596213872602</v>
      </c>
      <c r="R36" s="20">
        <f>'TR TE'!$R$36*'TR TE'!$R$48</f>
        <v>192.02112859353934</v>
      </c>
      <c r="S36" s="20">
        <f>SUM($R$36:$R$36)</f>
        <v>192.02112859353934</v>
      </c>
      <c r="T36" s="20">
        <f>'TR TE'!$T$36*'TR TE'!$T$48</f>
        <v>0</v>
      </c>
      <c r="U36" s="20">
        <f>'TR TE'!$U$36*'TR TE'!$U$48</f>
        <v>0</v>
      </c>
      <c r="V36" s="20">
        <f>'TR TE'!$V$36*'TR TE'!$V$48</f>
        <v>0</v>
      </c>
      <c r="W36" s="20">
        <f>SUM($T$36:$V$36)</f>
        <v>0</v>
      </c>
      <c r="X36" s="20"/>
      <c r="Y36" s="20">
        <f>SUM($X$36:$X$36)</f>
        <v>0</v>
      </c>
      <c r="Z36" s="20">
        <f>'TR TE'!$Z$36*'TR TE'!$Z$48</f>
        <v>0</v>
      </c>
      <c r="AA36" s="20">
        <f>SUM($Z$36:$Z$36)</f>
        <v>0</v>
      </c>
      <c r="AB36" s="20">
        <f>SUMIF($L$4:$AA$4,"SUBTOTAL",$L$36:$AA$36)</f>
        <v>208.02072480741194</v>
      </c>
    </row>
    <row r="37" spans="1:28" ht="11.25" customHeight="1" x14ac:dyDescent="0.3">
      <c r="A37" s="102"/>
      <c r="B37" s="102"/>
      <c r="C37" s="102"/>
      <c r="D37" s="102"/>
      <c r="E37" s="102"/>
      <c r="F37" s="102"/>
      <c r="G37" s="23" t="s">
        <v>70</v>
      </c>
      <c r="H37" s="23" t="s">
        <v>68</v>
      </c>
      <c r="I37" s="23">
        <f>'MERCADO TE'!$U$34</f>
        <v>0</v>
      </c>
      <c r="J37" s="15"/>
      <c r="L37" s="20">
        <f>'TR TE'!$L$37*'TR TE'!$L$48</f>
        <v>0</v>
      </c>
      <c r="M37" s="20">
        <f>'TR TE'!$M$37*'TR TE'!$M$48</f>
        <v>15.999596213872602</v>
      </c>
      <c r="N37" s="20">
        <f>'TR TE'!$N$37*'TR TE'!$N$48</f>
        <v>0</v>
      </c>
      <c r="O37" s="20">
        <f>'TR TE'!$O$37*'TR TE'!$O$48</f>
        <v>0</v>
      </c>
      <c r="P37" s="20">
        <f>'TR TE'!$P$37*'TR TE'!$P$48</f>
        <v>0</v>
      </c>
      <c r="Q37" s="20">
        <f>SUM($L$37:$P$37)</f>
        <v>15.999596213872602</v>
      </c>
      <c r="R37" s="20">
        <f>'TR TE'!$R$37*'TR TE'!$R$48</f>
        <v>192.02112859353934</v>
      </c>
      <c r="S37" s="20">
        <f>SUM($R$37:$R$37)</f>
        <v>192.02112859353934</v>
      </c>
      <c r="T37" s="20">
        <f>'TR TE'!$T$37*'TR TE'!$T$48</f>
        <v>0</v>
      </c>
      <c r="U37" s="20">
        <f>'TR TE'!$U$37*'TR TE'!$U$48</f>
        <v>0</v>
      </c>
      <c r="V37" s="20">
        <f>'TR TE'!$V$37*'TR TE'!$V$48</f>
        <v>0</v>
      </c>
      <c r="W37" s="20">
        <f>SUM($T$37:$V$37)</f>
        <v>0</v>
      </c>
      <c r="X37" s="20"/>
      <c r="Y37" s="20">
        <f>SUM($X$37:$X$37)</f>
        <v>0</v>
      </c>
      <c r="Z37" s="20">
        <f>'TR TE'!$Z$37*'TR TE'!$Z$48</f>
        <v>0</v>
      </c>
      <c r="AA37" s="20">
        <f>SUM($Z$37:$Z$37)</f>
        <v>0</v>
      </c>
      <c r="AB37" s="20">
        <f>SUMIF($L$4:$AA$4,"SUBTOTAL",$L$37:$AA$37)</f>
        <v>208.02072480741194</v>
      </c>
    </row>
    <row r="38" spans="1:28" ht="11.25" customHeight="1" x14ac:dyDescent="0.3">
      <c r="A38" s="102"/>
      <c r="B38" s="22" t="s">
        <v>81</v>
      </c>
      <c r="C38" s="22" t="s">
        <v>25</v>
      </c>
      <c r="D38" s="22" t="s">
        <v>25</v>
      </c>
      <c r="E38" s="22" t="s">
        <v>25</v>
      </c>
      <c r="F38" s="22" t="s">
        <v>25</v>
      </c>
      <c r="G38" s="23" t="s">
        <v>74</v>
      </c>
      <c r="H38" s="23" t="s">
        <v>68</v>
      </c>
      <c r="I38" s="23">
        <f>'MERCADO TE'!$U$35</f>
        <v>321.71000000000004</v>
      </c>
      <c r="J38" s="15"/>
      <c r="L38" s="20">
        <f>'TR TE'!$L$38*'TR TE'!$L$48</f>
        <v>0</v>
      </c>
      <c r="M38" s="20">
        <f>'TR TE'!$M$38*'TR TE'!$M$48</f>
        <v>15.999596213872602</v>
      </c>
      <c r="N38" s="20">
        <f>'TR TE'!$N$38*'TR TE'!$N$48</f>
        <v>0</v>
      </c>
      <c r="O38" s="20">
        <f>'TR TE'!$O$38*'TR TE'!$O$48</f>
        <v>0</v>
      </c>
      <c r="P38" s="20">
        <f>'TR TE'!$P$38*'TR TE'!$P$48</f>
        <v>0</v>
      </c>
      <c r="Q38" s="20">
        <f>SUM($L$38:$P$38)</f>
        <v>15.999596213872602</v>
      </c>
      <c r="R38" s="20">
        <f>'TR TE'!$R$38*'TR TE'!$R$48</f>
        <v>192.02112859353934</v>
      </c>
      <c r="S38" s="20">
        <f>SUM($R$38:$R$38)</f>
        <v>192.02112859353934</v>
      </c>
      <c r="T38" s="20">
        <f>'TR TE'!$T$38*'TR TE'!$T$48</f>
        <v>0</v>
      </c>
      <c r="U38" s="20">
        <f>'TR TE'!$U$38*'TR TE'!$U$48</f>
        <v>0</v>
      </c>
      <c r="V38" s="20">
        <f>'TR TE'!$V$38*'TR TE'!$V$48</f>
        <v>0</v>
      </c>
      <c r="W38" s="20">
        <f>SUM($T$38:$V$38)</f>
        <v>0</v>
      </c>
      <c r="X38" s="20"/>
      <c r="Y38" s="20">
        <f>SUM($X$38:$X$38)</f>
        <v>0</v>
      </c>
      <c r="Z38" s="20">
        <f>'TR TE'!$Z$38*'TR TE'!$Z$48</f>
        <v>0</v>
      </c>
      <c r="AA38" s="20">
        <f>SUM($Z$38:$Z$38)</f>
        <v>0</v>
      </c>
      <c r="AB38" s="20">
        <f>SUMIF($L$4:$AA$4,"SUBTOTAL",$L$38:$AA$38)</f>
        <v>208.02072480741194</v>
      </c>
    </row>
    <row r="39" spans="1:28" ht="11.25" customHeight="1" x14ac:dyDescent="0.3">
      <c r="A39" s="102"/>
      <c r="B39" s="22" t="s">
        <v>83</v>
      </c>
      <c r="C39" s="22" t="s">
        <v>25</v>
      </c>
      <c r="D39" s="22" t="s">
        <v>25</v>
      </c>
      <c r="E39" s="22" t="s">
        <v>25</v>
      </c>
      <c r="F39" s="22" t="s">
        <v>25</v>
      </c>
      <c r="G39" s="23" t="s">
        <v>74</v>
      </c>
      <c r="H39" s="23" t="s">
        <v>68</v>
      </c>
      <c r="I39" s="23">
        <f>'MERCADO TE'!$U$36</f>
        <v>0</v>
      </c>
      <c r="J39" s="15"/>
      <c r="L39" s="20">
        <f>'TR TE'!$L$39*'TR TE'!$L$48</f>
        <v>0</v>
      </c>
      <c r="M39" s="20">
        <f>'TR TE'!$M$39*'TR TE'!$M$48</f>
        <v>15.999596213872602</v>
      </c>
      <c r="N39" s="20">
        <f>'TR TE'!$N$39*'TR TE'!$N$48</f>
        <v>0</v>
      </c>
      <c r="O39" s="20">
        <f>'TR TE'!$O$39*'TR TE'!$O$48</f>
        <v>0</v>
      </c>
      <c r="P39" s="20">
        <f>'TR TE'!$P$39*'TR TE'!$P$48</f>
        <v>0</v>
      </c>
      <c r="Q39" s="20">
        <f>SUM($L$39:$P$39)</f>
        <v>15.999596213872602</v>
      </c>
      <c r="R39" s="20">
        <f>'TR TE'!$R$39*'TR TE'!$R$48</f>
        <v>192.02112859353934</v>
      </c>
      <c r="S39" s="20">
        <f>SUM($R$39:$R$39)</f>
        <v>192.02112859353934</v>
      </c>
      <c r="T39" s="20">
        <f>'TR TE'!$T$39*'TR TE'!$T$48</f>
        <v>0</v>
      </c>
      <c r="U39" s="20">
        <f>'TR TE'!$U$39*'TR TE'!$U$48</f>
        <v>0</v>
      </c>
      <c r="V39" s="20">
        <f>'TR TE'!$V$39*'TR TE'!$V$48</f>
        <v>0</v>
      </c>
      <c r="W39" s="20">
        <f>SUM($T$39:$V$39)</f>
        <v>0</v>
      </c>
      <c r="X39" s="20"/>
      <c r="Y39" s="20">
        <f>SUM($X$39:$X$39)</f>
        <v>0</v>
      </c>
      <c r="Z39" s="20">
        <f>'TR TE'!$Z$39*'TR TE'!$Z$48</f>
        <v>0</v>
      </c>
      <c r="AA39" s="20">
        <f>SUM($Z$39:$Z$39)</f>
        <v>0</v>
      </c>
      <c r="AB39" s="20">
        <f>SUMIF($L$4:$AA$4,"SUBTOTAL",$L$39:$AA$39)</f>
        <v>208.02072480741194</v>
      </c>
    </row>
    <row r="40" spans="1:28" ht="11.25" customHeight="1" x14ac:dyDescent="0.3">
      <c r="A40" s="102" t="s">
        <v>43</v>
      </c>
      <c r="B40" s="102" t="s">
        <v>81</v>
      </c>
      <c r="C40" s="102" t="s">
        <v>44</v>
      </c>
      <c r="D40" s="22" t="s">
        <v>45</v>
      </c>
      <c r="E40" s="22" t="s">
        <v>25</v>
      </c>
      <c r="F40" s="22" t="s">
        <v>25</v>
      </c>
      <c r="G40" s="23" t="s">
        <v>74</v>
      </c>
      <c r="H40" s="23" t="s">
        <v>68</v>
      </c>
      <c r="I40" s="23">
        <f>'MERCADO TE'!$U$37</f>
        <v>249.66400000000002</v>
      </c>
      <c r="J40" s="15"/>
      <c r="L40" s="20">
        <f>'TR TE'!$L$40*'TR TE'!$L$48</f>
        <v>0</v>
      </c>
      <c r="M40" s="20">
        <f>'TR TE'!$M$40*'TR TE'!$M$48</f>
        <v>8.7997779176299318</v>
      </c>
      <c r="N40" s="20">
        <f>'TR TE'!$N$40*'TR TE'!$N$48</f>
        <v>0</v>
      </c>
      <c r="O40" s="20">
        <f>'TR TE'!$O$40*'TR TE'!$O$48</f>
        <v>0</v>
      </c>
      <c r="P40" s="20">
        <f>'TR TE'!$P$40*'TR TE'!$P$48</f>
        <v>0</v>
      </c>
      <c r="Q40" s="20">
        <f>SUM($L$40:$P$40)</f>
        <v>8.7997779176299318</v>
      </c>
      <c r="R40" s="20">
        <f>'TR TE'!$R$40*'TR TE'!$R$48</f>
        <v>105.61162072644665</v>
      </c>
      <c r="S40" s="20">
        <f>SUM($R$40:$R$40)</f>
        <v>105.61162072644665</v>
      </c>
      <c r="T40" s="20">
        <f>'TR TE'!$T$40*'TR TE'!$T$48</f>
        <v>0</v>
      </c>
      <c r="U40" s="20">
        <f>'TR TE'!$U$40*'TR TE'!$U$48</f>
        <v>0</v>
      </c>
      <c r="V40" s="20">
        <f>'TR TE'!$V$40*'TR TE'!$V$48</f>
        <v>0</v>
      </c>
      <c r="W40" s="20">
        <f>SUM($T$40:$V$40)</f>
        <v>0</v>
      </c>
      <c r="X40" s="20"/>
      <c r="Y40" s="20">
        <f>SUM($X$40:$X$40)</f>
        <v>0</v>
      </c>
      <c r="Z40" s="20">
        <f>'TR TE'!$Z$40*'TR TE'!$Z$48</f>
        <v>0</v>
      </c>
      <c r="AA40" s="20">
        <f>SUM($Z$40:$Z$40)</f>
        <v>0</v>
      </c>
      <c r="AB40" s="20">
        <f>SUMIF($L$4:$AA$4,"SUBTOTAL",$L$40:$AA$40)</f>
        <v>114.41139864407657</v>
      </c>
    </row>
    <row r="41" spans="1:28" ht="11.25" customHeight="1" x14ac:dyDescent="0.3">
      <c r="A41" s="102"/>
      <c r="B41" s="102"/>
      <c r="C41" s="102"/>
      <c r="D41" s="23" t="s">
        <v>87</v>
      </c>
      <c r="E41" s="23" t="s">
        <v>25</v>
      </c>
      <c r="F41" s="23" t="s">
        <v>25</v>
      </c>
      <c r="G41" s="23" t="s">
        <v>74</v>
      </c>
      <c r="H41" s="23" t="s">
        <v>68</v>
      </c>
      <c r="I41" s="23">
        <f>'MERCADO TE'!$U$38</f>
        <v>0</v>
      </c>
      <c r="J41" s="15"/>
      <c r="L41" s="20">
        <f>'TR TE'!$L$41*'TR TE'!$L$48</f>
        <v>0</v>
      </c>
      <c r="M41" s="20">
        <f>'TR TE'!$M$41*'TR TE'!$M$48</f>
        <v>9.59975772832356</v>
      </c>
      <c r="N41" s="20">
        <f>'TR TE'!$N$41*'TR TE'!$N$48</f>
        <v>0</v>
      </c>
      <c r="O41" s="20">
        <f>'TR TE'!$O$41*'TR TE'!$O$48</f>
        <v>0</v>
      </c>
      <c r="P41" s="20">
        <f>'TR TE'!$P$41*'TR TE'!$P$48</f>
        <v>0</v>
      </c>
      <c r="Q41" s="20">
        <f>SUM($L$41:$P$41)</f>
        <v>9.59975772832356</v>
      </c>
      <c r="R41" s="20">
        <f>'TR TE'!$R$41*'TR TE'!$R$48</f>
        <v>115.2126771561236</v>
      </c>
      <c r="S41" s="20">
        <f>SUM($R$41:$R$41)</f>
        <v>115.2126771561236</v>
      </c>
      <c r="T41" s="20">
        <f>'TR TE'!$T$41*'TR TE'!$T$48</f>
        <v>0</v>
      </c>
      <c r="U41" s="20">
        <f>'TR TE'!$U$41*'TR TE'!$U$48</f>
        <v>0</v>
      </c>
      <c r="V41" s="20">
        <f>'TR TE'!$V$41*'TR TE'!$V$48</f>
        <v>0</v>
      </c>
      <c r="W41" s="20">
        <f>SUM($T$41:$V$41)</f>
        <v>0</v>
      </c>
      <c r="X41" s="20"/>
      <c r="Y41" s="20">
        <f>SUM($X$41:$X$41)</f>
        <v>0</v>
      </c>
      <c r="Z41" s="20">
        <f>'TR TE'!$Z$41*'TR TE'!$Z$48</f>
        <v>0</v>
      </c>
      <c r="AA41" s="20">
        <f>SUM($Z$41:$Z$41)</f>
        <v>0</v>
      </c>
      <c r="AB41" s="20">
        <f>SUMIF($L$4:$AA$4,"SUBTOTAL",$L$41:$AA$41)</f>
        <v>124.81243488444716</v>
      </c>
    </row>
    <row r="43" spans="1:28" ht="11.25" customHeight="1" x14ac:dyDescent="0.3">
      <c r="K43" s="25" t="s">
        <v>490</v>
      </c>
      <c r="L43" s="20">
        <f t="shared" ref="L43:AB43" si="0">SUMPRODUCT($I$5:$I$41,L$5:L$41)</f>
        <v>0</v>
      </c>
      <c r="M43" s="20">
        <f t="shared" si="0"/>
        <v>286370.11999999994</v>
      </c>
      <c r="N43" s="20">
        <f t="shared" si="0"/>
        <v>0</v>
      </c>
      <c r="O43" s="20">
        <f t="shared" si="0"/>
        <v>0</v>
      </c>
      <c r="P43" s="20">
        <f t="shared" si="0"/>
        <v>0</v>
      </c>
      <c r="Q43" s="20">
        <f t="shared" si="0"/>
        <v>286370.11999999994</v>
      </c>
      <c r="R43" s="20">
        <f t="shared" si="0"/>
        <v>3436906.3383104918</v>
      </c>
      <c r="S43" s="20">
        <f t="shared" si="0"/>
        <v>3436906.3383104918</v>
      </c>
      <c r="T43" s="20">
        <f t="shared" si="0"/>
        <v>0</v>
      </c>
      <c r="U43" s="20">
        <f t="shared" si="0"/>
        <v>0</v>
      </c>
      <c r="V43" s="20">
        <f t="shared" si="0"/>
        <v>0</v>
      </c>
      <c r="W43" s="20">
        <f t="shared" si="0"/>
        <v>0</v>
      </c>
      <c r="X43" s="20">
        <f t="shared" si="0"/>
        <v>0</v>
      </c>
      <c r="Y43" s="20">
        <f t="shared" si="0"/>
        <v>0</v>
      </c>
      <c r="Z43" s="20">
        <f t="shared" si="0"/>
        <v>0</v>
      </c>
      <c r="AA43" s="20">
        <f t="shared" si="0"/>
        <v>0</v>
      </c>
      <c r="AB43" s="20">
        <f t="shared" si="0"/>
        <v>3723276.4583104919</v>
      </c>
    </row>
    <row r="44" spans="1:28" ht="11.25" customHeight="1" x14ac:dyDescent="0.3">
      <c r="K44" s="25" t="s">
        <v>409</v>
      </c>
      <c r="L44" s="20">
        <f>CUSTOS!$D$30</f>
        <v>0</v>
      </c>
      <c r="M44" s="20">
        <f>CUSTOS!$D$31</f>
        <v>286370.12</v>
      </c>
      <c r="N44" s="20">
        <f>CUSTOS!$D$32</f>
        <v>0</v>
      </c>
      <c r="O44" s="20">
        <f>CUSTOS!$D$33</f>
        <v>0</v>
      </c>
      <c r="P44" s="20">
        <f>CUSTOS!$D$34</f>
        <v>0</v>
      </c>
      <c r="Q44" s="20">
        <f>CUSTOS!$D$35</f>
        <v>286370.12</v>
      </c>
      <c r="R44" s="20">
        <f>CUSTOS!$D$36</f>
        <v>3436906.3383104918</v>
      </c>
      <c r="S44" s="20">
        <f>CUSTOS!$D$37</f>
        <v>3436906.3383104918</v>
      </c>
      <c r="T44" s="20">
        <f>CUSTOS!$D$38</f>
        <v>0</v>
      </c>
      <c r="U44" s="20">
        <f>CUSTOS!$D$39</f>
        <v>0</v>
      </c>
      <c r="V44" s="20">
        <f>CUSTOS!$D$40</f>
        <v>0</v>
      </c>
      <c r="W44" s="20">
        <f>CUSTOS!$D$41</f>
        <v>0</v>
      </c>
      <c r="X44" s="20">
        <f>CUSTOS!$D$42</f>
        <v>0</v>
      </c>
      <c r="Y44" s="20">
        <f>CUSTOS!$D$43</f>
        <v>0</v>
      </c>
      <c r="Z44" s="20">
        <f>CUSTOS!$D$44</f>
        <v>0</v>
      </c>
      <c r="AA44" s="20">
        <f>CUSTOS!$D$45</f>
        <v>0</v>
      </c>
      <c r="AB44" s="20">
        <f>CUSTOS!$D$46</f>
        <v>3723276.4583104919</v>
      </c>
    </row>
    <row r="45" spans="1:28" ht="11.25" customHeight="1" x14ac:dyDescent="0.3">
      <c r="K45" s="25" t="s">
        <v>410</v>
      </c>
      <c r="L45" s="20">
        <f>CUSTOS!$E$30</f>
        <v>0</v>
      </c>
      <c r="M45" s="20">
        <f>CUSTOS!$E$31</f>
        <v>0</v>
      </c>
      <c r="N45" s="20">
        <f>CUSTOS!$E$32</f>
        <v>0</v>
      </c>
      <c r="O45" s="20">
        <f>CUSTOS!$E$33</f>
        <v>0</v>
      </c>
      <c r="P45" s="20">
        <f>CUSTOS!$E$34</f>
        <v>0</v>
      </c>
      <c r="Q45" s="20">
        <f>CUSTOS!$E$35</f>
        <v>0</v>
      </c>
      <c r="R45" s="20">
        <f>CUSTOS!$E$36</f>
        <v>246488.21645955983</v>
      </c>
      <c r="S45" s="20">
        <f>CUSTOS!$E$37</f>
        <v>246488.21645955983</v>
      </c>
      <c r="T45" s="20">
        <f>CUSTOS!$E$38</f>
        <v>0</v>
      </c>
      <c r="U45" s="20">
        <f>CUSTOS!$E$39</f>
        <v>0</v>
      </c>
      <c r="V45" s="20">
        <f>CUSTOS!$E$40</f>
        <v>0</v>
      </c>
      <c r="W45" s="20">
        <f>CUSTOS!$E$41</f>
        <v>0</v>
      </c>
      <c r="X45" s="20">
        <f>CUSTOS!$E$42</f>
        <v>0</v>
      </c>
      <c r="Y45" s="20">
        <f>CUSTOS!$E$43</f>
        <v>0</v>
      </c>
      <c r="Z45" s="20">
        <f>CUSTOS!$E$44</f>
        <v>0</v>
      </c>
      <c r="AA45" s="20">
        <f>CUSTOS!$E$45</f>
        <v>0</v>
      </c>
      <c r="AB45" s="20">
        <f>CUSTOS!$E$46</f>
        <v>246488.21645955983</v>
      </c>
    </row>
    <row r="46" spans="1:28" ht="11.25" customHeight="1" x14ac:dyDescent="0.3">
      <c r="K46" s="25" t="s">
        <v>411</v>
      </c>
      <c r="L46" s="20">
        <f>CUSTOS!$F$30</f>
        <v>0</v>
      </c>
      <c r="M46" s="20">
        <f>CUSTOS!$F$31</f>
        <v>0</v>
      </c>
      <c r="N46" s="20">
        <f>CUSTOS!$F$32</f>
        <v>0</v>
      </c>
      <c r="O46" s="20">
        <f>CUSTOS!$F$33</f>
        <v>0</v>
      </c>
      <c r="P46" s="20">
        <f>CUSTOS!$F$34</f>
        <v>0</v>
      </c>
      <c r="Q46" s="20">
        <f>CUSTOS!$F$35</f>
        <v>0</v>
      </c>
      <c r="R46" s="20">
        <f>CUSTOS!$F$36</f>
        <v>0</v>
      </c>
      <c r="S46" s="20">
        <f>CUSTOS!$F$37</f>
        <v>0</v>
      </c>
      <c r="T46" s="20">
        <f>CUSTOS!$F$38</f>
        <v>0</v>
      </c>
      <c r="U46" s="20">
        <f>CUSTOS!$F$39</f>
        <v>0</v>
      </c>
      <c r="V46" s="20">
        <f>CUSTOS!$F$40</f>
        <v>0</v>
      </c>
      <c r="W46" s="20">
        <f>CUSTOS!$F$41</f>
        <v>0</v>
      </c>
      <c r="X46" s="20">
        <f>CUSTOS!$F$42</f>
        <v>0</v>
      </c>
      <c r="Y46" s="20">
        <f>CUSTOS!$F$43</f>
        <v>0</v>
      </c>
      <c r="Z46" s="20">
        <f>CUSTOS!$F$44</f>
        <v>0</v>
      </c>
      <c r="AA46" s="20">
        <f>CUSTOS!$F$45</f>
        <v>0</v>
      </c>
      <c r="AB46" s="20">
        <f>CUSTOS!$F$46</f>
        <v>0</v>
      </c>
    </row>
    <row r="47" spans="1:28" ht="11.25" customHeight="1" x14ac:dyDescent="0.3">
      <c r="K47" s="25" t="s">
        <v>491</v>
      </c>
      <c r="L47" s="20">
        <f>'TR TE'!$L$47*L48</f>
        <v>0</v>
      </c>
      <c r="M47" s="20">
        <f>'TR TE'!$M$47*M48</f>
        <v>0</v>
      </c>
      <c r="N47" s="20">
        <f>'TR TE'!$N$47*N48</f>
        <v>0</v>
      </c>
      <c r="O47" s="20">
        <f>'TR TE'!$O$47*O48</f>
        <v>0</v>
      </c>
      <c r="P47" s="20">
        <f>'TR TE'!$P$47*P48</f>
        <v>0</v>
      </c>
      <c r="Q47" s="20"/>
      <c r="R47" s="20">
        <f>'TR TE'!$R$47*R48</f>
        <v>13.880224517709731</v>
      </c>
      <c r="S47" s="20"/>
      <c r="T47" s="20">
        <f>'TR TE'!$T$47*T48</f>
        <v>0</v>
      </c>
      <c r="U47" s="20">
        <f>'TR TE'!$U$47*U48</f>
        <v>0</v>
      </c>
      <c r="V47" s="20">
        <f>'TR TE'!$V$47*V48</f>
        <v>0</v>
      </c>
      <c r="W47" s="20"/>
      <c r="X47" s="20"/>
      <c r="Y47" s="20"/>
      <c r="Z47" s="20">
        <f>'TR TE'!$Z$47*Z48</f>
        <v>0</v>
      </c>
      <c r="AA47" s="20"/>
      <c r="AB47" s="20"/>
    </row>
    <row r="48" spans="1:28" ht="11.25" customHeight="1" x14ac:dyDescent="0.3">
      <c r="K48" s="25" t="s">
        <v>478</v>
      </c>
      <c r="L48" s="20">
        <f>IF(L44&lt;&gt;0,L45/L44,0)</f>
        <v>0</v>
      </c>
      <c r="M48" s="20">
        <f>IF(M44&lt;&gt;0,M45/M44,0)</f>
        <v>0</v>
      </c>
      <c r="N48" s="20">
        <f>IF(N44&lt;&gt;0,N45/N44,0)</f>
        <v>0</v>
      </c>
      <c r="O48" s="20">
        <f>IF(O44&lt;&gt;0,O45/O44,0)</f>
        <v>0</v>
      </c>
      <c r="P48" s="20">
        <f>IF(P44&lt;&gt;0,P45/P44,0)</f>
        <v>0</v>
      </c>
      <c r="Q48" s="20"/>
      <c r="R48" s="20">
        <f>IF(R44&lt;&gt;0,R45/R44,0)</f>
        <v>7.1718048790566716E-2</v>
      </c>
      <c r="S48" s="20"/>
      <c r="T48" s="20">
        <f>IF(T44&lt;&gt;0,T45/T44,0)</f>
        <v>0</v>
      </c>
      <c r="U48" s="20">
        <f>IF(U44&lt;&gt;0,U45/U44,0)</f>
        <v>0</v>
      </c>
      <c r="V48" s="20">
        <f>IF(V44&lt;&gt;0,V45/V44,0)</f>
        <v>0</v>
      </c>
      <c r="W48" s="20"/>
      <c r="X48" s="20">
        <f>IF(($AB44-0)&lt;&gt;0,X45/($AB44-0),0)</f>
        <v>0</v>
      </c>
      <c r="Y48" s="20"/>
      <c r="Z48" s="20">
        <f>IF(Z44&lt;&gt;0,Z45/Z44,0)</f>
        <v>0</v>
      </c>
      <c r="AA48" s="20"/>
      <c r="AB48" s="20"/>
    </row>
    <row r="49" spans="11:28" ht="11.25" customHeight="1" x14ac:dyDescent="0.3">
      <c r="K49" s="25" t="s">
        <v>493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</sheetData>
  <mergeCells count="61">
    <mergeCell ref="E35:E37"/>
    <mergeCell ref="F35:F37"/>
    <mergeCell ref="A40:A41"/>
    <mergeCell ref="B40:B41"/>
    <mergeCell ref="C40:C41"/>
    <mergeCell ref="D35:D37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A7:A19"/>
    <mergeCell ref="B7:B9"/>
    <mergeCell ref="C7:C9"/>
    <mergeCell ref="D7:D9"/>
    <mergeCell ref="E7:E9"/>
    <mergeCell ref="F7:F9"/>
    <mergeCell ref="B10:B14"/>
    <mergeCell ref="C10:C14"/>
    <mergeCell ref="B15:B19"/>
    <mergeCell ref="C15:C19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  <mergeCell ref="A1:A4"/>
    <mergeCell ref="B1:B4"/>
    <mergeCell ref="C1:C4"/>
    <mergeCell ref="D1:D4"/>
    <mergeCell ref="E1:E4"/>
    <mergeCell ref="F1:F4"/>
  </mergeCells>
  <conditionalFormatting sqref="L43">
    <cfRule type="cellIs" dxfId="624" priority="33" operator="notEqual">
      <formula>$L$44</formula>
    </cfRule>
    <cfRule type="cellIs" dxfId="623" priority="34" operator="equal">
      <formula>$L$44</formula>
    </cfRule>
  </conditionalFormatting>
  <conditionalFormatting sqref="M43">
    <cfRule type="cellIs" dxfId="622" priority="31" operator="notEqual">
      <formula>$M$44</formula>
    </cfRule>
    <cfRule type="cellIs" dxfId="621" priority="32" operator="equal">
      <formula>$M$44</formula>
    </cfRule>
  </conditionalFormatting>
  <conditionalFormatting sqref="N43">
    <cfRule type="cellIs" dxfId="620" priority="29" operator="notEqual">
      <formula>$N$44</formula>
    </cfRule>
    <cfRule type="cellIs" dxfId="619" priority="30" operator="equal">
      <formula>$N$44</formula>
    </cfRule>
  </conditionalFormatting>
  <conditionalFormatting sqref="O43">
    <cfRule type="cellIs" dxfId="618" priority="27" operator="notEqual">
      <formula>$O$44</formula>
    </cfRule>
    <cfRule type="cellIs" dxfId="617" priority="28" operator="equal">
      <formula>$O$44</formula>
    </cfRule>
  </conditionalFormatting>
  <conditionalFormatting sqref="P43">
    <cfRule type="cellIs" dxfId="616" priority="25" operator="notEqual">
      <formula>$P$44</formula>
    </cfRule>
    <cfRule type="cellIs" dxfId="615" priority="26" operator="equal">
      <formula>$P$44</formula>
    </cfRule>
  </conditionalFormatting>
  <conditionalFormatting sqref="Q43">
    <cfRule type="cellIs" dxfId="614" priority="23" operator="notEqual">
      <formula>$Q$44</formula>
    </cfRule>
    <cfRule type="cellIs" dxfId="613" priority="24" operator="equal">
      <formula>$Q$44</formula>
    </cfRule>
  </conditionalFormatting>
  <conditionalFormatting sqref="R43">
    <cfRule type="cellIs" dxfId="612" priority="21" operator="notEqual">
      <formula>$R$44</formula>
    </cfRule>
    <cfRule type="cellIs" dxfId="611" priority="22" operator="equal">
      <formula>$R$44</formula>
    </cfRule>
  </conditionalFormatting>
  <conditionalFormatting sqref="S43">
    <cfRule type="cellIs" dxfId="610" priority="19" operator="notEqual">
      <formula>$S$44</formula>
    </cfRule>
    <cfRule type="cellIs" dxfId="609" priority="20" operator="equal">
      <formula>$S$44</formula>
    </cfRule>
  </conditionalFormatting>
  <conditionalFormatting sqref="T43">
    <cfRule type="cellIs" dxfId="608" priority="17" operator="notEqual">
      <formula>$T$44</formula>
    </cfRule>
    <cfRule type="cellIs" dxfId="607" priority="18" operator="equal">
      <formula>$T$44</formula>
    </cfRule>
  </conditionalFormatting>
  <conditionalFormatting sqref="U43">
    <cfRule type="cellIs" dxfId="606" priority="15" operator="notEqual">
      <formula>$U$44</formula>
    </cfRule>
    <cfRule type="cellIs" dxfId="605" priority="16" operator="equal">
      <formula>$U$44</formula>
    </cfRule>
  </conditionalFormatting>
  <conditionalFormatting sqref="V43">
    <cfRule type="cellIs" dxfId="604" priority="13" operator="notEqual">
      <formula>$V$44</formula>
    </cfRule>
    <cfRule type="cellIs" dxfId="603" priority="14" operator="equal">
      <formula>$V$44</formula>
    </cfRule>
  </conditionalFormatting>
  <conditionalFormatting sqref="W43">
    <cfRule type="cellIs" dxfId="602" priority="11" operator="notEqual">
      <formula>$W$44</formula>
    </cfRule>
    <cfRule type="cellIs" dxfId="601" priority="12" operator="equal">
      <formula>$W$44</formula>
    </cfRule>
  </conditionalFormatting>
  <conditionalFormatting sqref="X43">
    <cfRule type="cellIs" dxfId="600" priority="9" operator="notEqual">
      <formula>$X$44</formula>
    </cfRule>
    <cfRule type="cellIs" dxfId="599" priority="10" operator="equal">
      <formula>$X$44</formula>
    </cfRule>
  </conditionalFormatting>
  <conditionalFormatting sqref="Y43">
    <cfRule type="cellIs" dxfId="598" priority="7" operator="notEqual">
      <formula>$Y$44</formula>
    </cfRule>
    <cfRule type="cellIs" dxfId="597" priority="8" operator="equal">
      <formula>$Y$44</formula>
    </cfRule>
  </conditionalFormatting>
  <conditionalFormatting sqref="Z43">
    <cfRule type="cellIs" dxfId="596" priority="5" operator="notEqual">
      <formula>$Z$44</formula>
    </cfRule>
    <cfRule type="cellIs" dxfId="595" priority="6" operator="equal">
      <formula>$Z$44</formula>
    </cfRule>
  </conditionalFormatting>
  <conditionalFormatting sqref="AA43">
    <cfRule type="cellIs" dxfId="594" priority="3" operator="notEqual">
      <formula>$AA$44</formula>
    </cfRule>
    <cfRule type="cellIs" dxfId="593" priority="4" operator="equal">
      <formula>$AA$44</formula>
    </cfRule>
  </conditionalFormatting>
  <conditionalFormatting sqref="AB43">
    <cfRule type="cellIs" dxfId="592" priority="1" operator="notEqual">
      <formula>$AB$44</formula>
    </cfRule>
    <cfRule type="cellIs" dxfId="591" priority="2" operator="equal">
      <formula>$AB$44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7E29-5381-490F-A3D0-CECA166CEAE9}">
  <dimension ref="A1:AB49"/>
  <sheetViews>
    <sheetView showGridLines="0" topLeftCell="P31" workbookViewId="0">
      <selection activeCell="AB43" sqref="AB43"/>
    </sheetView>
  </sheetViews>
  <sheetFormatPr defaultRowHeight="11.25" customHeight="1" x14ac:dyDescent="0.3"/>
  <cols>
    <col min="1" max="1" width="9" style="9" bestFit="1" customWidth="1"/>
    <col min="2" max="2" width="24.66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9" width="7.109375" style="9" bestFit="1" customWidth="1"/>
    <col min="10" max="10" width="8.88671875" style="9"/>
    <col min="11" max="11" width="19.88671875" style="9" bestFit="1" customWidth="1"/>
    <col min="12" max="12" width="7.109375" style="9" bestFit="1" customWidth="1"/>
    <col min="13" max="13" width="7.88671875" style="9" bestFit="1" customWidth="1"/>
    <col min="14" max="14" width="7.109375" style="9" bestFit="1" customWidth="1"/>
    <col min="15" max="15" width="10.33203125" style="9" bestFit="1" customWidth="1"/>
    <col min="16" max="16" width="7.6640625" style="9" bestFit="1" customWidth="1"/>
    <col min="17" max="17" width="8.5546875" style="9" bestFit="1" customWidth="1"/>
    <col min="18" max="18" width="14.44140625" style="9" bestFit="1" customWidth="1"/>
    <col min="19" max="19" width="9.109375" style="9" bestFit="1" customWidth="1"/>
    <col min="20" max="20" width="7.109375" style="9" bestFit="1" customWidth="1"/>
    <col min="21" max="21" width="9.77734375" style="9" bestFit="1" customWidth="1"/>
    <col min="22" max="22" width="7.109375" style="9" bestFit="1" customWidth="1"/>
    <col min="23" max="23" width="8.5546875" style="9" bestFit="1" customWidth="1"/>
    <col min="24" max="24" width="7.77734375" style="9" bestFit="1" customWidth="1"/>
    <col min="25" max="25" width="8.5546875" style="9" bestFit="1" customWidth="1"/>
    <col min="26" max="26" width="10.5546875" style="9" bestFit="1" customWidth="1"/>
    <col min="27" max="27" width="8.5546875" style="9" bestFit="1" customWidth="1"/>
    <col min="28" max="28" width="9.109375" style="9" bestFit="1" customWidth="1"/>
    <col min="29" max="16384" width="8.88671875" style="9"/>
  </cols>
  <sheetData>
    <row r="1" spans="1:28" ht="11.25" customHeight="1" x14ac:dyDescent="0.3">
      <c r="A1" s="101" t="s">
        <v>58</v>
      </c>
      <c r="B1" s="101" t="s">
        <v>59</v>
      </c>
      <c r="C1" s="101" t="s">
        <v>60</v>
      </c>
      <c r="D1" s="101" t="s">
        <v>61</v>
      </c>
      <c r="E1" s="101" t="s">
        <v>62</v>
      </c>
      <c r="F1" s="101" t="s">
        <v>15</v>
      </c>
      <c r="G1" s="101" t="s">
        <v>64</v>
      </c>
      <c r="H1" s="101" t="s">
        <v>65</v>
      </c>
      <c r="I1" s="101" t="s">
        <v>468</v>
      </c>
      <c r="J1" s="80"/>
      <c r="L1" s="99" t="s">
        <v>495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1.2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80"/>
      <c r="L2" s="99" t="s">
        <v>395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11.25" customHeight="1" x14ac:dyDescent="0.3">
      <c r="A3" s="101"/>
      <c r="B3" s="101"/>
      <c r="C3" s="101"/>
      <c r="D3" s="101"/>
      <c r="E3" s="101"/>
      <c r="F3" s="101"/>
      <c r="G3" s="101"/>
      <c r="H3" s="101"/>
      <c r="I3" s="101"/>
      <c r="J3" s="80"/>
      <c r="L3" s="99" t="s">
        <v>368</v>
      </c>
      <c r="M3" s="99"/>
      <c r="N3" s="99"/>
      <c r="O3" s="99"/>
      <c r="P3" s="99"/>
      <c r="Q3" s="99"/>
      <c r="R3" s="99" t="s">
        <v>399</v>
      </c>
      <c r="S3" s="99"/>
      <c r="T3" s="99" t="s">
        <v>377</v>
      </c>
      <c r="U3" s="99"/>
      <c r="V3" s="99"/>
      <c r="W3" s="99"/>
      <c r="X3" s="99" t="s">
        <v>387</v>
      </c>
      <c r="Y3" s="99"/>
      <c r="Z3" s="99" t="s">
        <v>390</v>
      </c>
      <c r="AA3" s="99"/>
      <c r="AB3" s="99" t="s">
        <v>376</v>
      </c>
    </row>
    <row r="4" spans="1:28" ht="11.25" customHeight="1" x14ac:dyDescent="0.3">
      <c r="A4" s="101"/>
      <c r="B4" s="101"/>
      <c r="C4" s="101"/>
      <c r="D4" s="101"/>
      <c r="E4" s="101"/>
      <c r="F4" s="101"/>
      <c r="G4" s="101"/>
      <c r="H4" s="101"/>
      <c r="I4" s="101"/>
      <c r="J4" s="80"/>
      <c r="L4" s="24" t="s">
        <v>370</v>
      </c>
      <c r="M4" s="24" t="s">
        <v>396</v>
      </c>
      <c r="N4" s="24" t="s">
        <v>397</v>
      </c>
      <c r="O4" s="24" t="s">
        <v>456</v>
      </c>
      <c r="P4" s="24" t="s">
        <v>398</v>
      </c>
      <c r="Q4" s="24" t="s">
        <v>376</v>
      </c>
      <c r="R4" s="24" t="s">
        <v>400</v>
      </c>
      <c r="S4" s="24" t="s">
        <v>376</v>
      </c>
      <c r="T4" s="24" t="s">
        <v>401</v>
      </c>
      <c r="U4" s="24" t="s">
        <v>402</v>
      </c>
      <c r="V4" s="24" t="s">
        <v>403</v>
      </c>
      <c r="W4" s="24" t="s">
        <v>376</v>
      </c>
      <c r="X4" s="24" t="s">
        <v>388</v>
      </c>
      <c r="Y4" s="24" t="s">
        <v>376</v>
      </c>
      <c r="Z4" s="24" t="s">
        <v>404</v>
      </c>
      <c r="AA4" s="24" t="s">
        <v>376</v>
      </c>
      <c r="AB4" s="100"/>
    </row>
    <row r="5" spans="1:28" ht="11.25" customHeight="1" x14ac:dyDescent="0.3">
      <c r="A5" s="102" t="s">
        <v>33</v>
      </c>
      <c r="B5" s="102" t="s">
        <v>67</v>
      </c>
      <c r="C5" s="102" t="s">
        <v>25</v>
      </c>
      <c r="D5" s="102" t="s">
        <v>25</v>
      </c>
      <c r="E5" s="102" t="s">
        <v>25</v>
      </c>
      <c r="F5" s="102" t="s">
        <v>25</v>
      </c>
      <c r="G5" s="23" t="s">
        <v>69</v>
      </c>
      <c r="H5" s="23" t="s">
        <v>68</v>
      </c>
      <c r="I5" s="23">
        <f>'MERCADO TE'!$U$2</f>
        <v>917.56700000000001</v>
      </c>
      <c r="J5" s="15"/>
      <c r="L5" s="20">
        <f>'TE BE'!$L$5*'TE BE'!$L$48</f>
        <v>0</v>
      </c>
      <c r="M5" s="20">
        <f>'TE BE'!$M$5*'TE BE'!$M$48</f>
        <v>0</v>
      </c>
      <c r="N5" s="20">
        <f>'TE BE'!$N$5*'TE BE'!$N$48</f>
        <v>0</v>
      </c>
      <c r="O5" s="20">
        <f>'TE BE'!$O$5*'TE BE'!$O$48</f>
        <v>0</v>
      </c>
      <c r="P5" s="20">
        <f>'TE BE'!$P$5*'TE BE'!$P$48</f>
        <v>0</v>
      </c>
      <c r="Q5" s="20">
        <f>SUM($L$5:$P$5)</f>
        <v>0</v>
      </c>
      <c r="R5" s="20">
        <f>'TE BE'!$R$5*'TE BE'!$R$48</f>
        <v>13.77138066929114</v>
      </c>
      <c r="S5" s="20">
        <f>SUM($R$5:$R$5)</f>
        <v>13.77138066929114</v>
      </c>
      <c r="T5" s="20">
        <f>'TE BE'!$T$5*'TE BE'!$T$48</f>
        <v>0</v>
      </c>
      <c r="U5" s="20">
        <f>'TE BE'!$U$5*'TE BE'!$U$48</f>
        <v>0</v>
      </c>
      <c r="V5" s="20">
        <f>'TE BE'!$V$5*'TE BE'!$V$48</f>
        <v>0</v>
      </c>
      <c r="W5" s="20">
        <f>SUM($T$5:$V$5)</f>
        <v>0</v>
      </c>
      <c r="X5" s="20">
        <f>'TE BE'!$AB$5*'TE BE'!$X$48</f>
        <v>0</v>
      </c>
      <c r="Y5" s="20">
        <f>SUM($X$5:$X$5)</f>
        <v>0</v>
      </c>
      <c r="Z5" s="20">
        <f>'TE BE'!$Z$5*'TE BE'!$Z$48</f>
        <v>0</v>
      </c>
      <c r="AA5" s="20">
        <f>SUM($Z$5:$Z$5)</f>
        <v>0</v>
      </c>
      <c r="AB5" s="20">
        <f>SUMIF($L$4:$AA$4,"SUBTOTAL",$L$5:$AA$5)</f>
        <v>13.77138066929114</v>
      </c>
    </row>
    <row r="6" spans="1:28" ht="11.25" customHeight="1" x14ac:dyDescent="0.3">
      <c r="A6" s="102"/>
      <c r="B6" s="102"/>
      <c r="C6" s="102"/>
      <c r="D6" s="102"/>
      <c r="E6" s="102"/>
      <c r="F6" s="102"/>
      <c r="G6" s="23" t="s">
        <v>70</v>
      </c>
      <c r="H6" s="23" t="s">
        <v>68</v>
      </c>
      <c r="I6" s="23">
        <f>'MERCADO TE'!$U$3</f>
        <v>10340.044</v>
      </c>
      <c r="J6" s="15"/>
      <c r="L6" s="20">
        <f>'TE BE'!$L$6*'TE BE'!$L$48</f>
        <v>0</v>
      </c>
      <c r="M6" s="20">
        <f>'TE BE'!$M$6*'TE BE'!$M$48</f>
        <v>0</v>
      </c>
      <c r="N6" s="20">
        <f>'TE BE'!$N$6*'TE BE'!$N$48</f>
        <v>0</v>
      </c>
      <c r="O6" s="20">
        <f>'TE BE'!$O$6*'TE BE'!$O$48</f>
        <v>0</v>
      </c>
      <c r="P6" s="20">
        <f>'TE BE'!$P$6*'TE BE'!$P$48</f>
        <v>0</v>
      </c>
      <c r="Q6" s="20">
        <f>SUM($L$6:$P$6)</f>
        <v>0</v>
      </c>
      <c r="R6" s="20">
        <f>'TE BE'!$R$6*'TE BE'!$R$48</f>
        <v>13.77138066929114</v>
      </c>
      <c r="S6" s="20">
        <f>SUM($R$6:$R$6)</f>
        <v>13.77138066929114</v>
      </c>
      <c r="T6" s="20">
        <f>'TE BE'!$T$6*'TE BE'!$T$48</f>
        <v>0</v>
      </c>
      <c r="U6" s="20">
        <f>'TE BE'!$U$6*'TE BE'!$U$48</f>
        <v>0</v>
      </c>
      <c r="V6" s="20">
        <f>'TE BE'!$V$6*'TE BE'!$V$48</f>
        <v>0</v>
      </c>
      <c r="W6" s="20">
        <f>SUM($T$6:$V$6)</f>
        <v>0</v>
      </c>
      <c r="X6" s="20">
        <f>'TE BE'!$AB$6*'TE BE'!$X$48</f>
        <v>0</v>
      </c>
      <c r="Y6" s="20">
        <f>SUM($X$6:$X$6)</f>
        <v>0</v>
      </c>
      <c r="Z6" s="20">
        <f>'TE BE'!$Z$6*'TE BE'!$Z$48</f>
        <v>0</v>
      </c>
      <c r="AA6" s="20">
        <f>SUM($Z$6:$Z$6)</f>
        <v>0</v>
      </c>
      <c r="AB6" s="20">
        <f>SUMIF($L$4:$AA$4,"SUBTOTAL",$L$6:$AA$6)</f>
        <v>13.77138066929114</v>
      </c>
    </row>
    <row r="7" spans="1:28" ht="11.25" customHeight="1" x14ac:dyDescent="0.3">
      <c r="A7" s="102" t="s">
        <v>22</v>
      </c>
      <c r="B7" s="102" t="s">
        <v>67</v>
      </c>
      <c r="C7" s="102" t="s">
        <v>24</v>
      </c>
      <c r="D7" s="102" t="s">
        <v>24</v>
      </c>
      <c r="E7" s="102" t="s">
        <v>25</v>
      </c>
      <c r="F7" s="102" t="s">
        <v>25</v>
      </c>
      <c r="G7" s="23" t="s">
        <v>69</v>
      </c>
      <c r="H7" s="23" t="s">
        <v>68</v>
      </c>
      <c r="I7" s="23">
        <f>'MERCADO TE'!$U$4</f>
        <v>0</v>
      </c>
      <c r="J7" s="15"/>
      <c r="L7" s="20">
        <f>'TE BE'!$L$7*'TE BE'!$L$48</f>
        <v>0</v>
      </c>
      <c r="M7" s="20">
        <f>'TE BE'!$M$7*'TE BE'!$M$48</f>
        <v>0</v>
      </c>
      <c r="N7" s="20">
        <f>'TE BE'!$N$7*'TE BE'!$N$48</f>
        <v>0</v>
      </c>
      <c r="O7" s="20">
        <f>'TE BE'!$O$7*'TE BE'!$O$48</f>
        <v>0</v>
      </c>
      <c r="P7" s="20">
        <f>'TE BE'!$P$7*'TE BE'!$P$48</f>
        <v>0</v>
      </c>
      <c r="Q7" s="20">
        <f>SUM($L$7:$P$7)</f>
        <v>0</v>
      </c>
      <c r="R7" s="20">
        <f>'TE BE'!$R$7*'TE BE'!$R$48</f>
        <v>13.77138066929114</v>
      </c>
      <c r="S7" s="20">
        <f>SUM($R$7:$R$7)</f>
        <v>13.77138066929114</v>
      </c>
      <c r="T7" s="20">
        <f>'TE BE'!$T$7*'TE BE'!$T$48</f>
        <v>0</v>
      </c>
      <c r="U7" s="20">
        <f>'TE BE'!$U$7*'TE BE'!$U$48</f>
        <v>0</v>
      </c>
      <c r="V7" s="20">
        <f>'TE BE'!$V$7*'TE BE'!$V$48</f>
        <v>0</v>
      </c>
      <c r="W7" s="20">
        <f>SUM($T$7:$V$7)</f>
        <v>0</v>
      </c>
      <c r="X7" s="20">
        <f>'TE BE'!$AB$7*'TE BE'!$X$48</f>
        <v>0</v>
      </c>
      <c r="Y7" s="20">
        <f>SUM($X$7:$X$7)</f>
        <v>0</v>
      </c>
      <c r="Z7" s="20">
        <f>'TE BE'!$Z$7*'TE BE'!$Z$48</f>
        <v>0</v>
      </c>
      <c r="AA7" s="20">
        <f>SUM($Z$7:$Z$7)</f>
        <v>0</v>
      </c>
      <c r="AB7" s="20">
        <f>SUMIF($L$4:$AA$4,"SUBTOTAL",$L$7:$AA$7)</f>
        <v>13.77138066929114</v>
      </c>
    </row>
    <row r="8" spans="1:28" ht="11.25" customHeight="1" x14ac:dyDescent="0.3">
      <c r="A8" s="102"/>
      <c r="B8" s="102"/>
      <c r="C8" s="102"/>
      <c r="D8" s="102"/>
      <c r="E8" s="102"/>
      <c r="F8" s="102"/>
      <c r="G8" s="23" t="s">
        <v>80</v>
      </c>
      <c r="H8" s="23" t="s">
        <v>68</v>
      </c>
      <c r="I8" s="23">
        <f>'MERCADO TE'!$U$5</f>
        <v>0</v>
      </c>
      <c r="J8" s="15"/>
      <c r="L8" s="20">
        <f>'TE BE'!$L$8*'TE BE'!$L$48</f>
        <v>0</v>
      </c>
      <c r="M8" s="20">
        <f>'TE BE'!$M$8*'TE BE'!$M$48</f>
        <v>0</v>
      </c>
      <c r="N8" s="20">
        <f>'TE BE'!$N$8*'TE BE'!$N$48</f>
        <v>0</v>
      </c>
      <c r="O8" s="20">
        <f>'TE BE'!$O$8*'TE BE'!$O$48</f>
        <v>0</v>
      </c>
      <c r="P8" s="20">
        <f>'TE BE'!$P$8*'TE BE'!$P$48</f>
        <v>0</v>
      </c>
      <c r="Q8" s="20">
        <f>SUM($L$8:$P$8)</f>
        <v>0</v>
      </c>
      <c r="R8" s="20">
        <f>'TE BE'!$R$8*'TE BE'!$R$48</f>
        <v>13.77138066929114</v>
      </c>
      <c r="S8" s="20">
        <f>SUM($R$8:$R$8)</f>
        <v>13.77138066929114</v>
      </c>
      <c r="T8" s="20">
        <f>'TE BE'!$T$8*'TE BE'!$T$48</f>
        <v>0</v>
      </c>
      <c r="U8" s="20">
        <f>'TE BE'!$U$8*'TE BE'!$U$48</f>
        <v>0</v>
      </c>
      <c r="V8" s="20">
        <f>'TE BE'!$V$8*'TE BE'!$V$48</f>
        <v>0</v>
      </c>
      <c r="W8" s="20">
        <f>SUM($T$8:$V$8)</f>
        <v>0</v>
      </c>
      <c r="X8" s="20">
        <f>'TE BE'!$AB$8*'TE BE'!$X$48</f>
        <v>0</v>
      </c>
      <c r="Y8" s="20">
        <f>SUM($X$8:$X$8)</f>
        <v>0</v>
      </c>
      <c r="Z8" s="20">
        <f>'TE BE'!$Z$8*'TE BE'!$Z$48</f>
        <v>0</v>
      </c>
      <c r="AA8" s="20">
        <f>SUM($Z$8:$Z$8)</f>
        <v>0</v>
      </c>
      <c r="AB8" s="20">
        <f>SUMIF($L$4:$AA$4,"SUBTOTAL",$L$8:$AA$8)</f>
        <v>13.77138066929114</v>
      </c>
    </row>
    <row r="9" spans="1:28" ht="11.25" customHeight="1" x14ac:dyDescent="0.3">
      <c r="A9" s="102"/>
      <c r="B9" s="102"/>
      <c r="C9" s="102"/>
      <c r="D9" s="102"/>
      <c r="E9" s="102"/>
      <c r="F9" s="102"/>
      <c r="G9" s="23" t="s">
        <v>70</v>
      </c>
      <c r="H9" s="23" t="s">
        <v>68</v>
      </c>
      <c r="I9" s="23">
        <f>'MERCADO TE'!$U$6</f>
        <v>0</v>
      </c>
      <c r="J9" s="15"/>
      <c r="L9" s="20">
        <f>'TE BE'!$L$9*'TE BE'!$L$48</f>
        <v>0</v>
      </c>
      <c r="M9" s="20">
        <f>'TE BE'!$M$9*'TE BE'!$M$48</f>
        <v>0</v>
      </c>
      <c r="N9" s="20">
        <f>'TE BE'!$N$9*'TE BE'!$N$48</f>
        <v>0</v>
      </c>
      <c r="O9" s="20">
        <f>'TE BE'!$O$9*'TE BE'!$O$48</f>
        <v>0</v>
      </c>
      <c r="P9" s="20">
        <f>'TE BE'!$P$9*'TE BE'!$P$48</f>
        <v>0</v>
      </c>
      <c r="Q9" s="20">
        <f>SUM($L$9:$P$9)</f>
        <v>0</v>
      </c>
      <c r="R9" s="20">
        <f>'TE BE'!$R$9*'TE BE'!$R$48</f>
        <v>13.77138066929114</v>
      </c>
      <c r="S9" s="20">
        <f>SUM($R$9:$R$9)</f>
        <v>13.77138066929114</v>
      </c>
      <c r="T9" s="20">
        <f>'TE BE'!$T$9*'TE BE'!$T$48</f>
        <v>0</v>
      </c>
      <c r="U9" s="20">
        <f>'TE BE'!$U$9*'TE BE'!$U$48</f>
        <v>0</v>
      </c>
      <c r="V9" s="20">
        <f>'TE BE'!$V$9*'TE BE'!$V$48</f>
        <v>0</v>
      </c>
      <c r="W9" s="20">
        <f>SUM($T$9:$V$9)</f>
        <v>0</v>
      </c>
      <c r="X9" s="20">
        <f>'TE BE'!$AB$9*'TE BE'!$X$48</f>
        <v>0</v>
      </c>
      <c r="Y9" s="20">
        <f>SUM($X$9:$X$9)</f>
        <v>0</v>
      </c>
      <c r="Z9" s="20">
        <f>'TE BE'!$Z$9*'TE BE'!$Z$48</f>
        <v>0</v>
      </c>
      <c r="AA9" s="20">
        <f>SUM($Z$9:$Z$9)</f>
        <v>0</v>
      </c>
      <c r="AB9" s="20">
        <f>SUMIF($L$4:$AA$4,"SUBTOTAL",$L$9:$AA$9)</f>
        <v>13.77138066929114</v>
      </c>
    </row>
    <row r="10" spans="1:28" ht="11.25" customHeight="1" x14ac:dyDescent="0.3">
      <c r="A10" s="102"/>
      <c r="B10" s="102" t="s">
        <v>81</v>
      </c>
      <c r="C10" s="102" t="s">
        <v>24</v>
      </c>
      <c r="D10" s="22" t="s">
        <v>24</v>
      </c>
      <c r="E10" s="22" t="s">
        <v>25</v>
      </c>
      <c r="F10" s="22" t="s">
        <v>25</v>
      </c>
      <c r="G10" s="23" t="s">
        <v>74</v>
      </c>
      <c r="H10" s="23" t="s">
        <v>68</v>
      </c>
      <c r="I10" s="23">
        <f>'MERCADO TE'!$U$7</f>
        <v>434.28799999999995</v>
      </c>
      <c r="J10" s="15"/>
      <c r="L10" s="20">
        <f>'TE BE'!$L$10*'TE BE'!$L$48</f>
        <v>0</v>
      </c>
      <c r="M10" s="20">
        <f>'TE BE'!$M$10*'TE BE'!$M$48</f>
        <v>0</v>
      </c>
      <c r="N10" s="20">
        <f>'TE BE'!$N$10*'TE BE'!$N$48</f>
        <v>0</v>
      </c>
      <c r="O10" s="20">
        <f>'TE BE'!$O$10*'TE BE'!$O$48</f>
        <v>0</v>
      </c>
      <c r="P10" s="20">
        <f>'TE BE'!$P$10*'TE BE'!$P$48</f>
        <v>0</v>
      </c>
      <c r="Q10" s="20">
        <f>SUM($L$10:$P$10)</f>
        <v>0</v>
      </c>
      <c r="R10" s="20">
        <f>'TE BE'!$R$10*'TE BE'!$R$48</f>
        <v>13.77138066929114</v>
      </c>
      <c r="S10" s="20">
        <f>SUM($R$10:$R$10)</f>
        <v>13.77138066929114</v>
      </c>
      <c r="T10" s="20">
        <f>'TE BE'!$T$10*'TE BE'!$T$48</f>
        <v>0</v>
      </c>
      <c r="U10" s="20">
        <f>'TE BE'!$U$10*'TE BE'!$U$48</f>
        <v>0</v>
      </c>
      <c r="V10" s="20">
        <f>'TE BE'!$V$10*'TE BE'!$V$48</f>
        <v>0</v>
      </c>
      <c r="W10" s="20">
        <f>SUM($T$10:$V$10)</f>
        <v>0</v>
      </c>
      <c r="X10" s="20">
        <f>'TE BE'!$AB$10*'TE BE'!$X$48</f>
        <v>0</v>
      </c>
      <c r="Y10" s="20">
        <f>SUM($X$10:$X$10)</f>
        <v>0</v>
      </c>
      <c r="Z10" s="20">
        <f>'TE BE'!$Z$10*'TE BE'!$Z$48</f>
        <v>0</v>
      </c>
      <c r="AA10" s="20">
        <f>SUM($Z$10:$Z$10)</f>
        <v>0</v>
      </c>
      <c r="AB10" s="20">
        <f>SUMIF($L$4:$AA$4,"SUBTOTAL",$L$10:$AA$10)</f>
        <v>13.77138066929114</v>
      </c>
    </row>
    <row r="11" spans="1:28" ht="11.25" customHeight="1" x14ac:dyDescent="0.3">
      <c r="A11" s="102"/>
      <c r="B11" s="102"/>
      <c r="C11" s="102"/>
      <c r="D11" s="22" t="s">
        <v>27</v>
      </c>
      <c r="E11" s="22" t="s">
        <v>25</v>
      </c>
      <c r="F11" s="22" t="s">
        <v>25</v>
      </c>
      <c r="G11" s="23" t="s">
        <v>74</v>
      </c>
      <c r="H11" s="23" t="s">
        <v>68</v>
      </c>
      <c r="I11" s="23">
        <f>'MERCADO TE'!$U$8</f>
        <v>2.37</v>
      </c>
      <c r="J11" s="15"/>
      <c r="L11" s="20">
        <f>'TE BE'!$L$11*'TE BE'!$L$48</f>
        <v>0</v>
      </c>
      <c r="M11" s="20">
        <f>'TE BE'!$M$11*'TE BE'!$M$48</f>
        <v>0</v>
      </c>
      <c r="N11" s="20">
        <f>'TE BE'!$N$11*'TE BE'!$N$48</f>
        <v>0</v>
      </c>
      <c r="O11" s="20">
        <f>'TE BE'!$O$11*'TE BE'!$O$48</f>
        <v>0</v>
      </c>
      <c r="P11" s="20">
        <f>'TE BE'!$P$11*'TE BE'!$P$48</f>
        <v>0</v>
      </c>
      <c r="Q11" s="20">
        <f>SUM($L$11:$P$11)</f>
        <v>0</v>
      </c>
      <c r="R11" s="20">
        <f>'TE BE'!$R$11*'TE BE'!$R$48</f>
        <v>13.77138066929114</v>
      </c>
      <c r="S11" s="20">
        <f>SUM($R$11:$R$11)</f>
        <v>13.77138066929114</v>
      </c>
      <c r="T11" s="20">
        <f>'TE BE'!$T$11*'TE BE'!$T$48</f>
        <v>0</v>
      </c>
      <c r="U11" s="20">
        <f>'TE BE'!$U$11*'TE BE'!$U$48</f>
        <v>0</v>
      </c>
      <c r="V11" s="20">
        <f>'TE BE'!$V$11*'TE BE'!$V$48</f>
        <v>0</v>
      </c>
      <c r="W11" s="20">
        <f>SUM($T$11:$V$11)</f>
        <v>0</v>
      </c>
      <c r="X11" s="20">
        <f>'TE BE'!$AB$11*'TE BE'!$X$48</f>
        <v>0</v>
      </c>
      <c r="Y11" s="20">
        <f>SUM($X$11:$X$11)</f>
        <v>0</v>
      </c>
      <c r="Z11" s="20">
        <f>'TE BE'!$Z$11*'TE BE'!$Z$48</f>
        <v>0</v>
      </c>
      <c r="AA11" s="20">
        <f>SUM($Z$11:$Z$11)</f>
        <v>0</v>
      </c>
      <c r="AB11" s="20">
        <f>SUMIF($L$4:$AA$4,"SUBTOTAL",$L$11:$AA$11)</f>
        <v>13.77138066929114</v>
      </c>
    </row>
    <row r="12" spans="1:28" ht="11.25" customHeight="1" x14ac:dyDescent="0.3">
      <c r="A12" s="102"/>
      <c r="B12" s="102"/>
      <c r="C12" s="102"/>
      <c r="D12" s="22" t="s">
        <v>28</v>
      </c>
      <c r="E12" s="22" t="s">
        <v>25</v>
      </c>
      <c r="F12" s="22" t="s">
        <v>25</v>
      </c>
      <c r="G12" s="23" t="s">
        <v>74</v>
      </c>
      <c r="H12" s="23" t="s">
        <v>68</v>
      </c>
      <c r="I12" s="23">
        <f>'MERCADO TE'!$U$9</f>
        <v>4.327</v>
      </c>
      <c r="J12" s="15"/>
      <c r="L12" s="20">
        <f>'TE BE'!$L$12*'TE BE'!$L$48</f>
        <v>0</v>
      </c>
      <c r="M12" s="20">
        <f>'TE BE'!$M$12*'TE BE'!$M$48</f>
        <v>0</v>
      </c>
      <c r="N12" s="20">
        <f>'TE BE'!$N$12*'TE BE'!$N$48</f>
        <v>0</v>
      </c>
      <c r="O12" s="20">
        <f>'TE BE'!$O$12*'TE BE'!$O$48</f>
        <v>0</v>
      </c>
      <c r="P12" s="20">
        <f>'TE BE'!$P$12*'TE BE'!$P$48</f>
        <v>0</v>
      </c>
      <c r="Q12" s="20">
        <f>SUM($L$12:$P$12)</f>
        <v>0</v>
      </c>
      <c r="R12" s="20">
        <f>'TE BE'!$R$12*'TE BE'!$R$48</f>
        <v>13.77138066929114</v>
      </c>
      <c r="S12" s="20">
        <f>SUM($R$12:$R$12)</f>
        <v>13.77138066929114</v>
      </c>
      <c r="T12" s="20">
        <f>'TE BE'!$T$12*'TE BE'!$T$48</f>
        <v>0</v>
      </c>
      <c r="U12" s="20">
        <f>'TE BE'!$U$12*'TE BE'!$U$48</f>
        <v>0</v>
      </c>
      <c r="V12" s="20">
        <f>'TE BE'!$V$12*'TE BE'!$V$48</f>
        <v>0</v>
      </c>
      <c r="W12" s="20">
        <f>SUM($T$12:$V$12)</f>
        <v>0</v>
      </c>
      <c r="X12" s="20">
        <f>'TE BE'!$AB$12*'TE BE'!$X$48</f>
        <v>0</v>
      </c>
      <c r="Y12" s="20">
        <f>SUM($X$12:$X$12)</f>
        <v>0</v>
      </c>
      <c r="Z12" s="20">
        <f>'TE BE'!$Z$12*'TE BE'!$Z$48</f>
        <v>0</v>
      </c>
      <c r="AA12" s="20">
        <f>SUM($Z$12:$Z$12)</f>
        <v>0</v>
      </c>
      <c r="AB12" s="20">
        <f>SUMIF($L$4:$AA$4,"SUBTOTAL",$L$12:$AA$12)</f>
        <v>13.77138066929114</v>
      </c>
    </row>
    <row r="13" spans="1:28" ht="11.25" customHeight="1" x14ac:dyDescent="0.3">
      <c r="A13" s="102"/>
      <c r="B13" s="102"/>
      <c r="C13" s="102"/>
      <c r="D13" s="22" t="s">
        <v>29</v>
      </c>
      <c r="E13" s="22" t="s">
        <v>25</v>
      </c>
      <c r="F13" s="22" t="s">
        <v>25</v>
      </c>
      <c r="G13" s="23" t="s">
        <v>74</v>
      </c>
      <c r="H13" s="23" t="s">
        <v>68</v>
      </c>
      <c r="I13" s="23">
        <f>'MERCADO TE'!$U$10</f>
        <v>5.7929999999999993</v>
      </c>
      <c r="J13" s="15"/>
      <c r="L13" s="20">
        <f>'TE BE'!$L$13*'TE BE'!$L$48</f>
        <v>0</v>
      </c>
      <c r="M13" s="20">
        <f>'TE BE'!$M$13*'TE BE'!$M$48</f>
        <v>0</v>
      </c>
      <c r="N13" s="20">
        <f>'TE BE'!$N$13*'TE BE'!$N$48</f>
        <v>0</v>
      </c>
      <c r="O13" s="20">
        <f>'TE BE'!$O$13*'TE BE'!$O$48</f>
        <v>0</v>
      </c>
      <c r="P13" s="20">
        <f>'TE BE'!$P$13*'TE BE'!$P$48</f>
        <v>0</v>
      </c>
      <c r="Q13" s="20">
        <f>SUM($L$13:$P$13)</f>
        <v>0</v>
      </c>
      <c r="R13" s="20">
        <f>'TE BE'!$R$13*'TE BE'!$R$48</f>
        <v>13.77138066929114</v>
      </c>
      <c r="S13" s="20">
        <f>SUM($R$13:$R$13)</f>
        <v>13.77138066929114</v>
      </c>
      <c r="T13" s="20">
        <f>'TE BE'!$T$13*'TE BE'!$T$48</f>
        <v>0</v>
      </c>
      <c r="U13" s="20">
        <f>'TE BE'!$U$13*'TE BE'!$U$48</f>
        <v>0</v>
      </c>
      <c r="V13" s="20">
        <f>'TE BE'!$V$13*'TE BE'!$V$48</f>
        <v>0</v>
      </c>
      <c r="W13" s="20">
        <f>SUM($T$13:$V$13)</f>
        <v>0</v>
      </c>
      <c r="X13" s="20">
        <f>'TE BE'!$AB$13*'TE BE'!$X$48</f>
        <v>0</v>
      </c>
      <c r="Y13" s="20">
        <f>SUM($X$13:$X$13)</f>
        <v>0</v>
      </c>
      <c r="Z13" s="20">
        <f>'TE BE'!$Z$13*'TE BE'!$Z$48</f>
        <v>0</v>
      </c>
      <c r="AA13" s="20">
        <f>SUM($Z$13:$Z$13)</f>
        <v>0</v>
      </c>
      <c r="AB13" s="20">
        <f>SUMIF($L$4:$AA$4,"SUBTOTAL",$L$13:$AA$13)</f>
        <v>13.77138066929114</v>
      </c>
    </row>
    <row r="14" spans="1:28" ht="11.25" customHeight="1" x14ac:dyDescent="0.3">
      <c r="A14" s="102"/>
      <c r="B14" s="102"/>
      <c r="C14" s="102"/>
      <c r="D14" s="22" t="s">
        <v>30</v>
      </c>
      <c r="E14" s="22" t="s">
        <v>25</v>
      </c>
      <c r="F14" s="22" t="s">
        <v>25</v>
      </c>
      <c r="G14" s="23" t="s">
        <v>74</v>
      </c>
      <c r="H14" s="23" t="s">
        <v>68</v>
      </c>
      <c r="I14" s="23">
        <f>'MERCADO TE'!$U$11</f>
        <v>2.0990000000000002</v>
      </c>
      <c r="J14" s="15"/>
      <c r="L14" s="20">
        <f>'TE BE'!$L$14*'TE BE'!$L$48</f>
        <v>0</v>
      </c>
      <c r="M14" s="20">
        <f>'TE BE'!$M$14*'TE BE'!$M$48</f>
        <v>0</v>
      </c>
      <c r="N14" s="20">
        <f>'TE BE'!$N$14*'TE BE'!$N$48</f>
        <v>0</v>
      </c>
      <c r="O14" s="20">
        <f>'TE BE'!$O$14*'TE BE'!$O$48</f>
        <v>0</v>
      </c>
      <c r="P14" s="20">
        <f>'TE BE'!$P$14*'TE BE'!$P$48</f>
        <v>0</v>
      </c>
      <c r="Q14" s="20">
        <f>SUM($L$14:$P$14)</f>
        <v>0</v>
      </c>
      <c r="R14" s="20">
        <f>'TE BE'!$R$14*'TE BE'!$R$48</f>
        <v>13.77138066929114</v>
      </c>
      <c r="S14" s="20">
        <f>SUM($R$14:$R$14)</f>
        <v>13.77138066929114</v>
      </c>
      <c r="T14" s="20">
        <f>'TE BE'!$T$14*'TE BE'!$T$48</f>
        <v>0</v>
      </c>
      <c r="U14" s="20">
        <f>'TE BE'!$U$14*'TE BE'!$U$48</f>
        <v>0</v>
      </c>
      <c r="V14" s="20">
        <f>'TE BE'!$V$14*'TE BE'!$V$48</f>
        <v>0</v>
      </c>
      <c r="W14" s="20">
        <f>SUM($T$14:$V$14)</f>
        <v>0</v>
      </c>
      <c r="X14" s="20">
        <f>'TE BE'!$AB$14*'TE BE'!$X$48</f>
        <v>0</v>
      </c>
      <c r="Y14" s="20">
        <f>SUM($X$14:$X$14)</f>
        <v>0</v>
      </c>
      <c r="Z14" s="20">
        <f>'TE BE'!$Z$14*'TE BE'!$Z$48</f>
        <v>0</v>
      </c>
      <c r="AA14" s="20">
        <f>SUM($Z$14:$Z$14)</f>
        <v>0</v>
      </c>
      <c r="AB14" s="20">
        <f>SUMIF($L$4:$AA$4,"SUBTOTAL",$L$14:$AA$14)</f>
        <v>13.77138066929114</v>
      </c>
    </row>
    <row r="15" spans="1:28" ht="11.25" customHeight="1" x14ac:dyDescent="0.3">
      <c r="A15" s="102"/>
      <c r="B15" s="102" t="s">
        <v>83</v>
      </c>
      <c r="C15" s="102" t="s">
        <v>24</v>
      </c>
      <c r="D15" s="22" t="s">
        <v>24</v>
      </c>
      <c r="E15" s="22" t="s">
        <v>25</v>
      </c>
      <c r="F15" s="22" t="s">
        <v>25</v>
      </c>
      <c r="G15" s="23" t="s">
        <v>74</v>
      </c>
      <c r="H15" s="23" t="s">
        <v>68</v>
      </c>
      <c r="I15" s="23">
        <f>'MERCADO TE'!$U$12</f>
        <v>0</v>
      </c>
      <c r="J15" s="15"/>
      <c r="L15" s="20">
        <f>'TE BE'!$L$15*'TE BE'!$L$48</f>
        <v>0</v>
      </c>
      <c r="M15" s="20">
        <f>'TE BE'!$M$15*'TE BE'!$M$48</f>
        <v>0</v>
      </c>
      <c r="N15" s="20">
        <f>'TE BE'!$N$15*'TE BE'!$N$48</f>
        <v>0</v>
      </c>
      <c r="O15" s="20">
        <f>'TE BE'!$O$15*'TE BE'!$O$48</f>
        <v>0</v>
      </c>
      <c r="P15" s="20">
        <f>'TE BE'!$P$15*'TE BE'!$P$48</f>
        <v>0</v>
      </c>
      <c r="Q15" s="20">
        <f>SUM($L$15:$P$15)</f>
        <v>0</v>
      </c>
      <c r="R15" s="20">
        <f>'TE BE'!$R$15*'TE BE'!$R$48</f>
        <v>13.77138066929114</v>
      </c>
      <c r="S15" s="20">
        <f>SUM($R$15:$R$15)</f>
        <v>13.77138066929114</v>
      </c>
      <c r="T15" s="20">
        <f>'TE BE'!$T$15*'TE BE'!$T$48</f>
        <v>0</v>
      </c>
      <c r="U15" s="20">
        <f>'TE BE'!$U$15*'TE BE'!$U$48</f>
        <v>0</v>
      </c>
      <c r="V15" s="20">
        <f>'TE BE'!$V$15*'TE BE'!$V$48</f>
        <v>0</v>
      </c>
      <c r="W15" s="20">
        <f>SUM($T$15:$V$15)</f>
        <v>0</v>
      </c>
      <c r="X15" s="20">
        <f>'TE BE'!$AB$15*'TE BE'!$X$48</f>
        <v>0</v>
      </c>
      <c r="Y15" s="20">
        <f>SUM($X$15:$X$15)</f>
        <v>0</v>
      </c>
      <c r="Z15" s="20">
        <f>'TE BE'!$Z$15*'TE BE'!$Z$48</f>
        <v>0</v>
      </c>
      <c r="AA15" s="20">
        <f>SUM($Z$15:$Z$15)</f>
        <v>0</v>
      </c>
      <c r="AB15" s="20">
        <f>SUMIF($L$4:$AA$4,"SUBTOTAL",$L$15:$AA$15)</f>
        <v>13.77138066929114</v>
      </c>
    </row>
    <row r="16" spans="1:28" ht="11.25" customHeight="1" x14ac:dyDescent="0.3">
      <c r="A16" s="102"/>
      <c r="B16" s="102"/>
      <c r="C16" s="102"/>
      <c r="D16" s="22" t="s">
        <v>27</v>
      </c>
      <c r="E16" s="22" t="s">
        <v>25</v>
      </c>
      <c r="F16" s="22" t="s">
        <v>25</v>
      </c>
      <c r="G16" s="23" t="s">
        <v>74</v>
      </c>
      <c r="H16" s="23" t="s">
        <v>68</v>
      </c>
      <c r="I16" s="23">
        <f>'MERCADO TE'!$U$13</f>
        <v>0</v>
      </c>
      <c r="J16" s="15"/>
      <c r="L16" s="20">
        <f>'TE BE'!$L$16*'TE BE'!$L$48</f>
        <v>0</v>
      </c>
      <c r="M16" s="20">
        <f>'TE BE'!$M$16*'TE BE'!$M$48</f>
        <v>0</v>
      </c>
      <c r="N16" s="20">
        <f>'TE BE'!$N$16*'TE BE'!$N$48</f>
        <v>0</v>
      </c>
      <c r="O16" s="20">
        <f>'TE BE'!$O$16*'TE BE'!$O$48</f>
        <v>0</v>
      </c>
      <c r="P16" s="20">
        <f>'TE BE'!$P$16*'TE BE'!$P$48</f>
        <v>0</v>
      </c>
      <c r="Q16" s="20">
        <f>SUM($L$16:$P$16)</f>
        <v>0</v>
      </c>
      <c r="R16" s="20">
        <f>'TE BE'!$R$16*'TE BE'!$R$48</f>
        <v>13.77138066929114</v>
      </c>
      <c r="S16" s="20">
        <f>SUM($R$16:$R$16)</f>
        <v>13.77138066929114</v>
      </c>
      <c r="T16" s="20">
        <f>'TE BE'!$T$16*'TE BE'!$T$48</f>
        <v>0</v>
      </c>
      <c r="U16" s="20">
        <f>'TE BE'!$U$16*'TE BE'!$U$48</f>
        <v>0</v>
      </c>
      <c r="V16" s="20">
        <f>'TE BE'!$V$16*'TE BE'!$V$48</f>
        <v>0</v>
      </c>
      <c r="W16" s="20">
        <f>SUM($T$16:$V$16)</f>
        <v>0</v>
      </c>
      <c r="X16" s="20">
        <f>'TE BE'!$AB$16*'TE BE'!$X$48</f>
        <v>0</v>
      </c>
      <c r="Y16" s="20">
        <f>SUM($X$16:$X$16)</f>
        <v>0</v>
      </c>
      <c r="Z16" s="20">
        <f>'TE BE'!$Z$16*'TE BE'!$Z$48</f>
        <v>0</v>
      </c>
      <c r="AA16" s="20">
        <f>SUM($Z$16:$Z$16)</f>
        <v>0</v>
      </c>
      <c r="AB16" s="20">
        <f>SUMIF($L$4:$AA$4,"SUBTOTAL",$L$16:$AA$16)</f>
        <v>13.77138066929114</v>
      </c>
    </row>
    <row r="17" spans="1:28" ht="11.25" customHeight="1" x14ac:dyDescent="0.3">
      <c r="A17" s="102"/>
      <c r="B17" s="102"/>
      <c r="C17" s="102"/>
      <c r="D17" s="22" t="s">
        <v>28</v>
      </c>
      <c r="E17" s="22" t="s">
        <v>25</v>
      </c>
      <c r="F17" s="22" t="s">
        <v>25</v>
      </c>
      <c r="G17" s="23" t="s">
        <v>74</v>
      </c>
      <c r="H17" s="23" t="s">
        <v>68</v>
      </c>
      <c r="I17" s="23">
        <f>'MERCADO TE'!$U$14</f>
        <v>0</v>
      </c>
      <c r="J17" s="15"/>
      <c r="L17" s="20">
        <f>'TE BE'!$L$17*'TE BE'!$L$48</f>
        <v>0</v>
      </c>
      <c r="M17" s="20">
        <f>'TE BE'!$M$17*'TE BE'!$M$48</f>
        <v>0</v>
      </c>
      <c r="N17" s="20">
        <f>'TE BE'!$N$17*'TE BE'!$N$48</f>
        <v>0</v>
      </c>
      <c r="O17" s="20">
        <f>'TE BE'!$O$17*'TE BE'!$O$48</f>
        <v>0</v>
      </c>
      <c r="P17" s="20">
        <f>'TE BE'!$P$17*'TE BE'!$P$48</f>
        <v>0</v>
      </c>
      <c r="Q17" s="20">
        <f>SUM($L$17:$P$17)</f>
        <v>0</v>
      </c>
      <c r="R17" s="20">
        <f>'TE BE'!$R$17*'TE BE'!$R$48</f>
        <v>13.77138066929114</v>
      </c>
      <c r="S17" s="20">
        <f>SUM($R$17:$R$17)</f>
        <v>13.77138066929114</v>
      </c>
      <c r="T17" s="20">
        <f>'TE BE'!$T$17*'TE BE'!$T$48</f>
        <v>0</v>
      </c>
      <c r="U17" s="20">
        <f>'TE BE'!$U$17*'TE BE'!$U$48</f>
        <v>0</v>
      </c>
      <c r="V17" s="20">
        <f>'TE BE'!$V$17*'TE BE'!$V$48</f>
        <v>0</v>
      </c>
      <c r="W17" s="20">
        <f>SUM($T$17:$V$17)</f>
        <v>0</v>
      </c>
      <c r="X17" s="20">
        <f>'TE BE'!$AB$17*'TE BE'!$X$48</f>
        <v>0</v>
      </c>
      <c r="Y17" s="20">
        <f>SUM($X$17:$X$17)</f>
        <v>0</v>
      </c>
      <c r="Z17" s="20">
        <f>'TE BE'!$Z$17*'TE BE'!$Z$48</f>
        <v>0</v>
      </c>
      <c r="AA17" s="20">
        <f>SUM($Z$17:$Z$17)</f>
        <v>0</v>
      </c>
      <c r="AB17" s="20">
        <f>SUMIF($L$4:$AA$4,"SUBTOTAL",$L$17:$AA$17)</f>
        <v>13.77138066929114</v>
      </c>
    </row>
    <row r="18" spans="1:28" ht="11.25" customHeight="1" x14ac:dyDescent="0.3">
      <c r="A18" s="102"/>
      <c r="B18" s="102"/>
      <c r="C18" s="102"/>
      <c r="D18" s="22" t="s">
        <v>29</v>
      </c>
      <c r="E18" s="22" t="s">
        <v>25</v>
      </c>
      <c r="F18" s="22" t="s">
        <v>25</v>
      </c>
      <c r="G18" s="23" t="s">
        <v>74</v>
      </c>
      <c r="H18" s="23" t="s">
        <v>68</v>
      </c>
      <c r="I18" s="23">
        <f>'MERCADO TE'!$U$15</f>
        <v>0</v>
      </c>
      <c r="J18" s="15"/>
      <c r="L18" s="20">
        <f>'TE BE'!$L$18*'TE BE'!$L$48</f>
        <v>0</v>
      </c>
      <c r="M18" s="20">
        <f>'TE BE'!$M$18*'TE BE'!$M$48</f>
        <v>0</v>
      </c>
      <c r="N18" s="20">
        <f>'TE BE'!$N$18*'TE BE'!$N$48</f>
        <v>0</v>
      </c>
      <c r="O18" s="20">
        <f>'TE BE'!$O$18*'TE BE'!$O$48</f>
        <v>0</v>
      </c>
      <c r="P18" s="20">
        <f>'TE BE'!$P$18*'TE BE'!$P$48</f>
        <v>0</v>
      </c>
      <c r="Q18" s="20">
        <f>SUM($L$18:$P$18)</f>
        <v>0</v>
      </c>
      <c r="R18" s="20">
        <f>'TE BE'!$R$18*'TE BE'!$R$48</f>
        <v>13.77138066929114</v>
      </c>
      <c r="S18" s="20">
        <f>SUM($R$18:$R$18)</f>
        <v>13.77138066929114</v>
      </c>
      <c r="T18" s="20">
        <f>'TE BE'!$T$18*'TE BE'!$T$48</f>
        <v>0</v>
      </c>
      <c r="U18" s="20">
        <f>'TE BE'!$U$18*'TE BE'!$U$48</f>
        <v>0</v>
      </c>
      <c r="V18" s="20">
        <f>'TE BE'!$V$18*'TE BE'!$V$48</f>
        <v>0</v>
      </c>
      <c r="W18" s="20">
        <f>SUM($T$18:$V$18)</f>
        <v>0</v>
      </c>
      <c r="X18" s="20">
        <f>'TE BE'!$AB$18*'TE BE'!$X$48</f>
        <v>0</v>
      </c>
      <c r="Y18" s="20">
        <f>SUM($X$18:$X$18)</f>
        <v>0</v>
      </c>
      <c r="Z18" s="20">
        <f>'TE BE'!$Z$18*'TE BE'!$Z$48</f>
        <v>0</v>
      </c>
      <c r="AA18" s="20">
        <f>SUM($Z$18:$Z$18)</f>
        <v>0</v>
      </c>
      <c r="AB18" s="20">
        <f>SUMIF($L$4:$AA$4,"SUBTOTAL",$L$18:$AA$18)</f>
        <v>13.77138066929114</v>
      </c>
    </row>
    <row r="19" spans="1:28" ht="11.25" customHeight="1" x14ac:dyDescent="0.3">
      <c r="A19" s="102"/>
      <c r="B19" s="102"/>
      <c r="C19" s="102"/>
      <c r="D19" s="22" t="s">
        <v>30</v>
      </c>
      <c r="E19" s="22" t="s">
        <v>25</v>
      </c>
      <c r="F19" s="22" t="s">
        <v>25</v>
      </c>
      <c r="G19" s="23" t="s">
        <v>74</v>
      </c>
      <c r="H19" s="23" t="s">
        <v>68</v>
      </c>
      <c r="I19" s="23">
        <f>'MERCADO TE'!$U$16</f>
        <v>0</v>
      </c>
      <c r="J19" s="15"/>
      <c r="L19" s="20">
        <f>'TE BE'!$L$19*'TE BE'!$L$48</f>
        <v>0</v>
      </c>
      <c r="M19" s="20">
        <f>'TE BE'!$M$19*'TE BE'!$M$48</f>
        <v>0</v>
      </c>
      <c r="N19" s="20">
        <f>'TE BE'!$N$19*'TE BE'!$N$48</f>
        <v>0</v>
      </c>
      <c r="O19" s="20">
        <f>'TE BE'!$O$19*'TE BE'!$O$48</f>
        <v>0</v>
      </c>
      <c r="P19" s="20">
        <f>'TE BE'!$P$19*'TE BE'!$P$48</f>
        <v>0</v>
      </c>
      <c r="Q19" s="20">
        <f>SUM($L$19:$P$19)</f>
        <v>0</v>
      </c>
      <c r="R19" s="20">
        <f>'TE BE'!$R$19*'TE BE'!$R$48</f>
        <v>13.77138066929114</v>
      </c>
      <c r="S19" s="20">
        <f>SUM($R$19:$R$19)</f>
        <v>13.77138066929114</v>
      </c>
      <c r="T19" s="20">
        <f>'TE BE'!$T$19*'TE BE'!$T$48</f>
        <v>0</v>
      </c>
      <c r="U19" s="20">
        <f>'TE BE'!$U$19*'TE BE'!$U$48</f>
        <v>0</v>
      </c>
      <c r="V19" s="20">
        <f>'TE BE'!$V$19*'TE BE'!$V$48</f>
        <v>0</v>
      </c>
      <c r="W19" s="20">
        <f>SUM($T$19:$V$19)</f>
        <v>0</v>
      </c>
      <c r="X19" s="20">
        <f>'TE BE'!$AB$19*'TE BE'!$X$48</f>
        <v>0</v>
      </c>
      <c r="Y19" s="20">
        <f>SUM($X$19:$X$19)</f>
        <v>0</v>
      </c>
      <c r="Z19" s="20">
        <f>'TE BE'!$Z$19*'TE BE'!$Z$48</f>
        <v>0</v>
      </c>
      <c r="AA19" s="20">
        <f>SUM($Z$19:$Z$19)</f>
        <v>0</v>
      </c>
      <c r="AB19" s="20">
        <f>SUMIF($L$4:$AA$4,"SUBTOTAL",$L$19:$AA$19)</f>
        <v>13.77138066929114</v>
      </c>
    </row>
    <row r="20" spans="1:28" ht="11.25" customHeight="1" x14ac:dyDescent="0.3">
      <c r="A20" s="102" t="s">
        <v>39</v>
      </c>
      <c r="B20" s="102" t="s">
        <v>67</v>
      </c>
      <c r="C20" s="102" t="s">
        <v>40</v>
      </c>
      <c r="D20" s="102" t="s">
        <v>25</v>
      </c>
      <c r="E20" s="102" t="s">
        <v>25</v>
      </c>
      <c r="F20" s="102" t="s">
        <v>25</v>
      </c>
      <c r="G20" s="23" t="s">
        <v>69</v>
      </c>
      <c r="H20" s="23" t="s">
        <v>68</v>
      </c>
      <c r="I20" s="23">
        <f>'MERCADO TE'!$U$17</f>
        <v>0</v>
      </c>
      <c r="J20" s="15"/>
      <c r="L20" s="20">
        <f>'TE BE'!$L$20*'TE BE'!$L$48</f>
        <v>0</v>
      </c>
      <c r="M20" s="20">
        <f>'TE BE'!$M$20*'TE BE'!$M$48</f>
        <v>0</v>
      </c>
      <c r="N20" s="20">
        <f>'TE BE'!$N$20*'TE BE'!$N$48</f>
        <v>0</v>
      </c>
      <c r="O20" s="20">
        <f>'TE BE'!$O$20*'TE BE'!$O$48</f>
        <v>0</v>
      </c>
      <c r="P20" s="20">
        <f>'TE BE'!$P$20*'TE BE'!$P$48</f>
        <v>0</v>
      </c>
      <c r="Q20" s="20">
        <f>SUM($L$20:$P$20)</f>
        <v>0</v>
      </c>
      <c r="R20" s="20">
        <f>'TE BE'!$R$20*'TE BE'!$R$48</f>
        <v>13.77138066929114</v>
      </c>
      <c r="S20" s="20">
        <f>SUM($R$20:$R$20)</f>
        <v>13.77138066929114</v>
      </c>
      <c r="T20" s="20">
        <f>'TE BE'!$T$20*'TE BE'!$T$48</f>
        <v>0</v>
      </c>
      <c r="U20" s="20">
        <f>'TE BE'!$U$20*'TE BE'!$U$48</f>
        <v>0</v>
      </c>
      <c r="V20" s="20">
        <f>'TE BE'!$V$20*'TE BE'!$V$48</f>
        <v>0</v>
      </c>
      <c r="W20" s="20">
        <f>SUM($T$20:$V$20)</f>
        <v>0</v>
      </c>
      <c r="X20" s="20">
        <f>'TE BE'!$AB$20*'TE BE'!$X$48</f>
        <v>0</v>
      </c>
      <c r="Y20" s="20">
        <f>SUM($X$20:$X$20)</f>
        <v>0</v>
      </c>
      <c r="Z20" s="20">
        <f>'TE BE'!$Z$20*'TE BE'!$Z$48</f>
        <v>0</v>
      </c>
      <c r="AA20" s="20">
        <f>SUM($Z$20:$Z$20)</f>
        <v>0</v>
      </c>
      <c r="AB20" s="20">
        <f>SUMIF($L$4:$AA$4,"SUBTOTAL",$L$20:$AA$20)</f>
        <v>13.77138066929114</v>
      </c>
    </row>
    <row r="21" spans="1:28" ht="11.25" customHeight="1" x14ac:dyDescent="0.3">
      <c r="A21" s="102"/>
      <c r="B21" s="102"/>
      <c r="C21" s="102"/>
      <c r="D21" s="102"/>
      <c r="E21" s="102"/>
      <c r="F21" s="102"/>
      <c r="G21" s="23" t="s">
        <v>80</v>
      </c>
      <c r="H21" s="23" t="s">
        <v>68</v>
      </c>
      <c r="I21" s="23">
        <f>'MERCADO TE'!$U$18</f>
        <v>0</v>
      </c>
      <c r="J21" s="15"/>
      <c r="L21" s="20">
        <f>'TE BE'!$L$21*'TE BE'!$L$48</f>
        <v>0</v>
      </c>
      <c r="M21" s="20">
        <f>'TE BE'!$M$21*'TE BE'!$M$48</f>
        <v>0</v>
      </c>
      <c r="N21" s="20">
        <f>'TE BE'!$N$21*'TE BE'!$N$48</f>
        <v>0</v>
      </c>
      <c r="O21" s="20">
        <f>'TE BE'!$O$21*'TE BE'!$O$48</f>
        <v>0</v>
      </c>
      <c r="P21" s="20">
        <f>'TE BE'!$P$21*'TE BE'!$P$48</f>
        <v>0</v>
      </c>
      <c r="Q21" s="20">
        <f>SUM($L$21:$P$21)</f>
        <v>0</v>
      </c>
      <c r="R21" s="20">
        <f>'TE BE'!$R$21*'TE BE'!$R$48</f>
        <v>13.77138066929114</v>
      </c>
      <c r="S21" s="20">
        <f>SUM($R$21:$R$21)</f>
        <v>13.77138066929114</v>
      </c>
      <c r="T21" s="20">
        <f>'TE BE'!$T$21*'TE BE'!$T$48</f>
        <v>0</v>
      </c>
      <c r="U21" s="20">
        <f>'TE BE'!$U$21*'TE BE'!$U$48</f>
        <v>0</v>
      </c>
      <c r="V21" s="20">
        <f>'TE BE'!$V$21*'TE BE'!$V$48</f>
        <v>0</v>
      </c>
      <c r="W21" s="20">
        <f>SUM($T$21:$V$21)</f>
        <v>0</v>
      </c>
      <c r="X21" s="20">
        <f>'TE BE'!$AB$21*'TE BE'!$X$48</f>
        <v>0</v>
      </c>
      <c r="Y21" s="20">
        <f>SUM($X$21:$X$21)</f>
        <v>0</v>
      </c>
      <c r="Z21" s="20">
        <f>'TE BE'!$Z$21*'TE BE'!$Z$48</f>
        <v>0</v>
      </c>
      <c r="AA21" s="20">
        <f>SUM($Z$21:$Z$21)</f>
        <v>0</v>
      </c>
      <c r="AB21" s="20">
        <f>SUMIF($L$4:$AA$4,"SUBTOTAL",$L$21:$AA$21)</f>
        <v>13.77138066929114</v>
      </c>
    </row>
    <row r="22" spans="1:28" ht="11.25" customHeight="1" x14ac:dyDescent="0.3">
      <c r="A22" s="102"/>
      <c r="B22" s="102"/>
      <c r="C22" s="102"/>
      <c r="D22" s="102"/>
      <c r="E22" s="102"/>
      <c r="F22" s="102"/>
      <c r="G22" s="23" t="s">
        <v>70</v>
      </c>
      <c r="H22" s="23" t="s">
        <v>68</v>
      </c>
      <c r="I22" s="23">
        <f>'MERCADO TE'!$U$19</f>
        <v>0</v>
      </c>
      <c r="J22" s="15"/>
      <c r="L22" s="20">
        <f>'TE BE'!$L$22*'TE BE'!$L$48</f>
        <v>0</v>
      </c>
      <c r="M22" s="20">
        <f>'TE BE'!$M$22*'TE BE'!$M$48</f>
        <v>0</v>
      </c>
      <c r="N22" s="20">
        <f>'TE BE'!$N$22*'TE BE'!$N$48</f>
        <v>0</v>
      </c>
      <c r="O22" s="20">
        <f>'TE BE'!$O$22*'TE BE'!$O$48</f>
        <v>0</v>
      </c>
      <c r="P22" s="20">
        <f>'TE BE'!$P$22*'TE BE'!$P$48</f>
        <v>0</v>
      </c>
      <c r="Q22" s="20">
        <f>SUM($L$22:$P$22)</f>
        <v>0</v>
      </c>
      <c r="R22" s="20">
        <f>'TE BE'!$R$22*'TE BE'!$R$48</f>
        <v>13.77138066929114</v>
      </c>
      <c r="S22" s="20">
        <f>SUM($R$22:$R$22)</f>
        <v>13.77138066929114</v>
      </c>
      <c r="T22" s="20">
        <f>'TE BE'!$T$22*'TE BE'!$T$48</f>
        <v>0</v>
      </c>
      <c r="U22" s="20">
        <f>'TE BE'!$U$22*'TE BE'!$U$48</f>
        <v>0</v>
      </c>
      <c r="V22" s="20">
        <f>'TE BE'!$V$22*'TE BE'!$V$48</f>
        <v>0</v>
      </c>
      <c r="W22" s="20">
        <f>SUM($T$22:$V$22)</f>
        <v>0</v>
      </c>
      <c r="X22" s="20">
        <f>'TE BE'!$AB$22*'TE BE'!$X$48</f>
        <v>0</v>
      </c>
      <c r="Y22" s="20">
        <f>SUM($X$22:$X$22)</f>
        <v>0</v>
      </c>
      <c r="Z22" s="20">
        <f>'TE BE'!$Z$22*'TE BE'!$Z$48</f>
        <v>0</v>
      </c>
      <c r="AA22" s="20">
        <f>SUM($Z$22:$Z$22)</f>
        <v>0</v>
      </c>
      <c r="AB22" s="20">
        <f>SUMIF($L$4:$AA$4,"SUBTOTAL",$L$22:$AA$22)</f>
        <v>13.77138066929114</v>
      </c>
    </row>
    <row r="23" spans="1:28" ht="11.25" customHeight="1" x14ac:dyDescent="0.3">
      <c r="A23" s="102"/>
      <c r="B23" s="22" t="s">
        <v>81</v>
      </c>
      <c r="C23" s="22" t="s">
        <v>40</v>
      </c>
      <c r="D23" s="22" t="s">
        <v>25</v>
      </c>
      <c r="E23" s="22" t="s">
        <v>25</v>
      </c>
      <c r="F23" s="22" t="s">
        <v>25</v>
      </c>
      <c r="G23" s="23" t="s">
        <v>74</v>
      </c>
      <c r="H23" s="23" t="s">
        <v>68</v>
      </c>
      <c r="I23" s="23">
        <f>'MERCADO TE'!$U$20</f>
        <v>5733.0710000000008</v>
      </c>
      <c r="J23" s="15"/>
      <c r="L23" s="20">
        <f>'TE BE'!$L$23*'TE BE'!$L$48</f>
        <v>0</v>
      </c>
      <c r="M23" s="20">
        <f>'TE BE'!$M$23*'TE BE'!$M$48</f>
        <v>0</v>
      </c>
      <c r="N23" s="20">
        <f>'TE BE'!$N$23*'TE BE'!$N$48</f>
        <v>0</v>
      </c>
      <c r="O23" s="20">
        <f>'TE BE'!$O$23*'TE BE'!$O$48</f>
        <v>0</v>
      </c>
      <c r="P23" s="20">
        <f>'TE BE'!$P$23*'TE BE'!$P$48</f>
        <v>0</v>
      </c>
      <c r="Q23" s="20">
        <f>SUM($L$23:$P$23)</f>
        <v>0</v>
      </c>
      <c r="R23" s="20">
        <f>'TE BE'!$R$23*'TE BE'!$R$48</f>
        <v>13.77138066929114</v>
      </c>
      <c r="S23" s="20">
        <f>SUM($R$23:$R$23)</f>
        <v>13.77138066929114</v>
      </c>
      <c r="T23" s="20">
        <f>'TE BE'!$T$23*'TE BE'!$T$48</f>
        <v>0</v>
      </c>
      <c r="U23" s="20">
        <f>'TE BE'!$U$23*'TE BE'!$U$48</f>
        <v>0</v>
      </c>
      <c r="V23" s="20">
        <f>'TE BE'!$V$23*'TE BE'!$V$48</f>
        <v>0</v>
      </c>
      <c r="W23" s="20">
        <f>SUM($T$23:$V$23)</f>
        <v>0</v>
      </c>
      <c r="X23" s="20">
        <f>'TE BE'!$AB$23*'TE BE'!$X$48</f>
        <v>0</v>
      </c>
      <c r="Y23" s="20">
        <f>SUM($X$23:$X$23)</f>
        <v>0</v>
      </c>
      <c r="Z23" s="20">
        <f>'TE BE'!$Z$23*'TE BE'!$Z$48</f>
        <v>0</v>
      </c>
      <c r="AA23" s="20">
        <f>SUM($Z$23:$Z$23)</f>
        <v>0</v>
      </c>
      <c r="AB23" s="20">
        <f>SUMIF($L$4:$AA$4,"SUBTOTAL",$L$23:$AA$23)</f>
        <v>13.77138066929114</v>
      </c>
    </row>
    <row r="24" spans="1:28" ht="11.25" customHeight="1" x14ac:dyDescent="0.3">
      <c r="A24" s="102"/>
      <c r="B24" s="102" t="s">
        <v>67</v>
      </c>
      <c r="C24" s="102" t="s">
        <v>40</v>
      </c>
      <c r="D24" s="102" t="s">
        <v>85</v>
      </c>
      <c r="E24" s="102" t="s">
        <v>25</v>
      </c>
      <c r="F24" s="102" t="s">
        <v>25</v>
      </c>
      <c r="G24" s="23" t="s">
        <v>69</v>
      </c>
      <c r="H24" s="23" t="s">
        <v>68</v>
      </c>
      <c r="I24" s="23">
        <f>'MERCADO TE'!$U$21</f>
        <v>0</v>
      </c>
      <c r="J24" s="15"/>
      <c r="L24" s="20">
        <f>'TE BE'!$L$24*'TE BE'!$L$48</f>
        <v>0</v>
      </c>
      <c r="M24" s="20">
        <f>'TE BE'!$M$24*'TE BE'!$M$48</f>
        <v>0</v>
      </c>
      <c r="N24" s="20">
        <f>'TE BE'!$N$24*'TE BE'!$N$48</f>
        <v>0</v>
      </c>
      <c r="O24" s="20">
        <f>'TE BE'!$O$24*'TE BE'!$O$48</f>
        <v>0</v>
      </c>
      <c r="P24" s="20">
        <f>'TE BE'!$P$24*'TE BE'!$P$48</f>
        <v>0</v>
      </c>
      <c r="Q24" s="20">
        <f>SUM($L$24:$P$24)</f>
        <v>0</v>
      </c>
      <c r="R24" s="20">
        <f>'TE BE'!$R$24*'TE BE'!$R$48</f>
        <v>13.77138066929114</v>
      </c>
      <c r="S24" s="20">
        <f>SUM($R$24:$R$24)</f>
        <v>13.77138066929114</v>
      </c>
      <c r="T24" s="20">
        <f>'TE BE'!$T$24*'TE BE'!$T$48</f>
        <v>0</v>
      </c>
      <c r="U24" s="20">
        <f>'TE BE'!$U$24*'TE BE'!$U$48</f>
        <v>0</v>
      </c>
      <c r="V24" s="20">
        <f>'TE BE'!$V$24*'TE BE'!$V$48</f>
        <v>0</v>
      </c>
      <c r="W24" s="20">
        <f>SUM($T$24:$V$24)</f>
        <v>0</v>
      </c>
      <c r="X24" s="20">
        <f>'TE BE'!$AB$24*'TE BE'!$X$48</f>
        <v>0</v>
      </c>
      <c r="Y24" s="20">
        <f>SUM($X$24:$X$24)</f>
        <v>0</v>
      </c>
      <c r="Z24" s="20">
        <f>'TE BE'!$Z$24*'TE BE'!$Z$48</f>
        <v>0</v>
      </c>
      <c r="AA24" s="20">
        <f>SUM($Z$24:$Z$24)</f>
        <v>0</v>
      </c>
      <c r="AB24" s="20">
        <f>SUMIF($L$4:$AA$4,"SUBTOTAL",$L$24:$AA$24)</f>
        <v>13.77138066929114</v>
      </c>
    </row>
    <row r="25" spans="1:28" ht="11.25" customHeight="1" x14ac:dyDescent="0.3">
      <c r="A25" s="102"/>
      <c r="B25" s="102"/>
      <c r="C25" s="102"/>
      <c r="D25" s="102"/>
      <c r="E25" s="102"/>
      <c r="F25" s="102"/>
      <c r="G25" s="23" t="s">
        <v>80</v>
      </c>
      <c r="H25" s="23" t="s">
        <v>68</v>
      </c>
      <c r="I25" s="23">
        <f>'MERCADO TE'!$U$22</f>
        <v>0</v>
      </c>
      <c r="J25" s="15"/>
      <c r="L25" s="20">
        <f>'TE BE'!$L$25*'TE BE'!$L$48</f>
        <v>0</v>
      </c>
      <c r="M25" s="20">
        <f>'TE BE'!$M$25*'TE BE'!$M$48</f>
        <v>0</v>
      </c>
      <c r="N25" s="20">
        <f>'TE BE'!$N$25*'TE BE'!$N$48</f>
        <v>0</v>
      </c>
      <c r="O25" s="20">
        <f>'TE BE'!$O$25*'TE BE'!$O$48</f>
        <v>0</v>
      </c>
      <c r="P25" s="20">
        <f>'TE BE'!$P$25*'TE BE'!$P$48</f>
        <v>0</v>
      </c>
      <c r="Q25" s="20">
        <f>SUM($L$25:$P$25)</f>
        <v>0</v>
      </c>
      <c r="R25" s="20">
        <f>'TE BE'!$R$25*'TE BE'!$R$48</f>
        <v>13.77138066929114</v>
      </c>
      <c r="S25" s="20">
        <f>SUM($R$25:$R$25)</f>
        <v>13.77138066929114</v>
      </c>
      <c r="T25" s="20">
        <f>'TE BE'!$T$25*'TE BE'!$T$48</f>
        <v>0</v>
      </c>
      <c r="U25" s="20">
        <f>'TE BE'!$U$25*'TE BE'!$U$48</f>
        <v>0</v>
      </c>
      <c r="V25" s="20">
        <f>'TE BE'!$V$25*'TE BE'!$V$48</f>
        <v>0</v>
      </c>
      <c r="W25" s="20">
        <f>SUM($T$25:$V$25)</f>
        <v>0</v>
      </c>
      <c r="X25" s="20">
        <f>'TE BE'!$AB$25*'TE BE'!$X$48</f>
        <v>0</v>
      </c>
      <c r="Y25" s="20">
        <f>SUM($X$25:$X$25)</f>
        <v>0</v>
      </c>
      <c r="Z25" s="20">
        <f>'TE BE'!$Z$25*'TE BE'!$Z$48</f>
        <v>0</v>
      </c>
      <c r="AA25" s="20">
        <f>SUM($Z$25:$Z$25)</f>
        <v>0</v>
      </c>
      <c r="AB25" s="20">
        <f>SUMIF($L$4:$AA$4,"SUBTOTAL",$L$25:$AA$25)</f>
        <v>13.77138066929114</v>
      </c>
    </row>
    <row r="26" spans="1:28" ht="11.25" customHeight="1" x14ac:dyDescent="0.3">
      <c r="A26" s="102"/>
      <c r="B26" s="102"/>
      <c r="C26" s="102"/>
      <c r="D26" s="102"/>
      <c r="E26" s="102"/>
      <c r="F26" s="102"/>
      <c r="G26" s="23" t="s">
        <v>70</v>
      </c>
      <c r="H26" s="23" t="s">
        <v>68</v>
      </c>
      <c r="I26" s="23">
        <f>'MERCADO TE'!$U$23</f>
        <v>0</v>
      </c>
      <c r="J26" s="15"/>
      <c r="L26" s="20">
        <f>'TE BE'!$L$26*'TE BE'!$L$48</f>
        <v>0</v>
      </c>
      <c r="M26" s="20">
        <f>'TE BE'!$M$26*'TE BE'!$M$48</f>
        <v>0</v>
      </c>
      <c r="N26" s="20">
        <f>'TE BE'!$N$26*'TE BE'!$N$48</f>
        <v>0</v>
      </c>
      <c r="O26" s="20">
        <f>'TE BE'!$O$26*'TE BE'!$O$48</f>
        <v>0</v>
      </c>
      <c r="P26" s="20">
        <f>'TE BE'!$P$26*'TE BE'!$P$48</f>
        <v>0</v>
      </c>
      <c r="Q26" s="20">
        <f>SUM($L$26:$P$26)</f>
        <v>0</v>
      </c>
      <c r="R26" s="20">
        <f>'TE BE'!$R$26*'TE BE'!$R$48</f>
        <v>13.77138066929114</v>
      </c>
      <c r="S26" s="20">
        <f>SUM($R$26:$R$26)</f>
        <v>13.77138066929114</v>
      </c>
      <c r="T26" s="20">
        <f>'TE BE'!$T$26*'TE BE'!$T$48</f>
        <v>0</v>
      </c>
      <c r="U26" s="20">
        <f>'TE BE'!$U$26*'TE BE'!$U$48</f>
        <v>0</v>
      </c>
      <c r="V26" s="20">
        <f>'TE BE'!$V$26*'TE BE'!$V$48</f>
        <v>0</v>
      </c>
      <c r="W26" s="20">
        <f>SUM($T$26:$V$26)</f>
        <v>0</v>
      </c>
      <c r="X26" s="20">
        <f>'TE BE'!$AB$26*'TE BE'!$X$48</f>
        <v>0</v>
      </c>
      <c r="Y26" s="20">
        <f>SUM($X$26:$X$26)</f>
        <v>0</v>
      </c>
      <c r="Z26" s="20">
        <f>'TE BE'!$Z$26*'TE BE'!$Z$48</f>
        <v>0</v>
      </c>
      <c r="AA26" s="20">
        <f>SUM($Z$26:$Z$26)</f>
        <v>0</v>
      </c>
      <c r="AB26" s="20">
        <f>SUMIF($L$4:$AA$4,"SUBTOTAL",$L$26:$AA$26)</f>
        <v>13.77138066929114</v>
      </c>
    </row>
    <row r="27" spans="1:28" ht="11.25" customHeight="1" x14ac:dyDescent="0.3">
      <c r="A27" s="102"/>
      <c r="B27" s="22" t="s">
        <v>81</v>
      </c>
      <c r="C27" s="22" t="s">
        <v>40</v>
      </c>
      <c r="D27" s="22" t="s">
        <v>85</v>
      </c>
      <c r="E27" s="22" t="s">
        <v>25</v>
      </c>
      <c r="F27" s="22" t="s">
        <v>25</v>
      </c>
      <c r="G27" s="23" t="s">
        <v>74</v>
      </c>
      <c r="H27" s="23" t="s">
        <v>68</v>
      </c>
      <c r="I27" s="23">
        <f>'MERCADO TE'!$U$24</f>
        <v>0</v>
      </c>
      <c r="J27" s="15"/>
      <c r="L27" s="20">
        <f>'TE BE'!$L$27*'TE BE'!$L$48</f>
        <v>0</v>
      </c>
      <c r="M27" s="20">
        <f>'TE BE'!$M$27*'TE BE'!$M$48</f>
        <v>0</v>
      </c>
      <c r="N27" s="20">
        <f>'TE BE'!$N$27*'TE BE'!$N$48</f>
        <v>0</v>
      </c>
      <c r="O27" s="20">
        <f>'TE BE'!$O$27*'TE BE'!$O$48</f>
        <v>0</v>
      </c>
      <c r="P27" s="20">
        <f>'TE BE'!$P$27*'TE BE'!$P$48</f>
        <v>0</v>
      </c>
      <c r="Q27" s="20">
        <f>SUM($L$27:$P$27)</f>
        <v>0</v>
      </c>
      <c r="R27" s="20">
        <f>'TE BE'!$R$27*'TE BE'!$R$48</f>
        <v>13.77138066929114</v>
      </c>
      <c r="S27" s="20">
        <f>SUM($R$27:$R$27)</f>
        <v>13.77138066929114</v>
      </c>
      <c r="T27" s="20">
        <f>'TE BE'!$T$27*'TE BE'!$T$48</f>
        <v>0</v>
      </c>
      <c r="U27" s="20">
        <f>'TE BE'!$U$27*'TE BE'!$U$48</f>
        <v>0</v>
      </c>
      <c r="V27" s="20">
        <f>'TE BE'!$V$27*'TE BE'!$V$48</f>
        <v>0</v>
      </c>
      <c r="W27" s="20">
        <f>SUM($T$27:$V$27)</f>
        <v>0</v>
      </c>
      <c r="X27" s="20">
        <f>'TE BE'!$AB$27*'TE BE'!$X$48</f>
        <v>0</v>
      </c>
      <c r="Y27" s="20">
        <f>SUM($X$27:$X$27)</f>
        <v>0</v>
      </c>
      <c r="Z27" s="20">
        <f>'TE BE'!$Z$27*'TE BE'!$Z$48</f>
        <v>0</v>
      </c>
      <c r="AA27" s="20">
        <f>SUM($Z$27:$Z$27)</f>
        <v>0</v>
      </c>
      <c r="AB27" s="20">
        <f>SUMIF($L$4:$AA$4,"SUBTOTAL",$L$27:$AA$27)</f>
        <v>13.77138066929114</v>
      </c>
    </row>
    <row r="28" spans="1:28" ht="11.25" customHeight="1" x14ac:dyDescent="0.3">
      <c r="A28" s="102"/>
      <c r="B28" s="102" t="s">
        <v>67</v>
      </c>
      <c r="C28" s="102" t="s">
        <v>40</v>
      </c>
      <c r="D28" s="102" t="s">
        <v>86</v>
      </c>
      <c r="E28" s="102" t="s">
        <v>25</v>
      </c>
      <c r="F28" s="102" t="s">
        <v>25</v>
      </c>
      <c r="G28" s="23" t="s">
        <v>69</v>
      </c>
      <c r="H28" s="23" t="s">
        <v>68</v>
      </c>
      <c r="I28" s="23">
        <f>'MERCADO TE'!$U$25</f>
        <v>0</v>
      </c>
      <c r="J28" s="15"/>
      <c r="L28" s="20">
        <f>'TE BE'!$L$28*'TE BE'!$L$48</f>
        <v>0</v>
      </c>
      <c r="M28" s="20">
        <f>'TE BE'!$M$28*'TE BE'!$M$48</f>
        <v>0</v>
      </c>
      <c r="N28" s="20">
        <f>'TE BE'!$N$28*'TE BE'!$N$48</f>
        <v>0</v>
      </c>
      <c r="O28" s="20">
        <f>'TE BE'!$O$28*'TE BE'!$O$48</f>
        <v>0</v>
      </c>
      <c r="P28" s="20">
        <f>'TE BE'!$P$28*'TE BE'!$P$48</f>
        <v>0</v>
      </c>
      <c r="Q28" s="20">
        <f>SUM($L$28:$P$28)</f>
        <v>0</v>
      </c>
      <c r="R28" s="20">
        <f>'TE BE'!$R$28*'TE BE'!$R$48</f>
        <v>13.77138066929114</v>
      </c>
      <c r="S28" s="20">
        <f>SUM($R$28:$R$28)</f>
        <v>13.77138066929114</v>
      </c>
      <c r="T28" s="20">
        <f>'TE BE'!$T$28*'TE BE'!$T$48</f>
        <v>0</v>
      </c>
      <c r="U28" s="20">
        <f>'TE BE'!$U$28*'TE BE'!$U$48</f>
        <v>0</v>
      </c>
      <c r="V28" s="20">
        <f>'TE BE'!$V$28*'TE BE'!$V$48</f>
        <v>0</v>
      </c>
      <c r="W28" s="20">
        <f>SUM($T$28:$V$28)</f>
        <v>0</v>
      </c>
      <c r="X28" s="20">
        <f>'TE BE'!$AB$28*'TE BE'!$X$48</f>
        <v>0</v>
      </c>
      <c r="Y28" s="20">
        <f>SUM($X$28:$X$28)</f>
        <v>0</v>
      </c>
      <c r="Z28" s="20">
        <f>'TE BE'!$Z$28*'TE BE'!$Z$48</f>
        <v>0</v>
      </c>
      <c r="AA28" s="20">
        <f>SUM($Z$28:$Z$28)</f>
        <v>0</v>
      </c>
      <c r="AB28" s="20">
        <f>SUMIF($L$4:$AA$4,"SUBTOTAL",$L$28:$AA$28)</f>
        <v>13.77138066929114</v>
      </c>
    </row>
    <row r="29" spans="1:28" ht="11.25" customHeight="1" x14ac:dyDescent="0.3">
      <c r="A29" s="102"/>
      <c r="B29" s="102"/>
      <c r="C29" s="102"/>
      <c r="D29" s="102"/>
      <c r="E29" s="102"/>
      <c r="F29" s="102"/>
      <c r="G29" s="23" t="s">
        <v>80</v>
      </c>
      <c r="H29" s="23" t="s">
        <v>68</v>
      </c>
      <c r="I29" s="23">
        <f>'MERCADO TE'!$U$26</f>
        <v>0</v>
      </c>
      <c r="J29" s="15"/>
      <c r="L29" s="20">
        <f>'TE BE'!$L$29*'TE BE'!$L$48</f>
        <v>0</v>
      </c>
      <c r="M29" s="20">
        <f>'TE BE'!$M$29*'TE BE'!$M$48</f>
        <v>0</v>
      </c>
      <c r="N29" s="20">
        <f>'TE BE'!$N$29*'TE BE'!$N$48</f>
        <v>0</v>
      </c>
      <c r="O29" s="20">
        <f>'TE BE'!$O$29*'TE BE'!$O$48</f>
        <v>0</v>
      </c>
      <c r="P29" s="20">
        <f>'TE BE'!$P$29*'TE BE'!$P$48</f>
        <v>0</v>
      </c>
      <c r="Q29" s="20">
        <f>SUM($L$29:$P$29)</f>
        <v>0</v>
      </c>
      <c r="R29" s="20">
        <f>'TE BE'!$R$29*'TE BE'!$R$48</f>
        <v>13.77138066929114</v>
      </c>
      <c r="S29" s="20">
        <f>SUM($R$29:$R$29)</f>
        <v>13.77138066929114</v>
      </c>
      <c r="T29" s="20">
        <f>'TE BE'!$T$29*'TE BE'!$T$48</f>
        <v>0</v>
      </c>
      <c r="U29" s="20">
        <f>'TE BE'!$U$29*'TE BE'!$U$48</f>
        <v>0</v>
      </c>
      <c r="V29" s="20">
        <f>'TE BE'!$V$29*'TE BE'!$V$48</f>
        <v>0</v>
      </c>
      <c r="W29" s="20">
        <f>SUM($T$29:$V$29)</f>
        <v>0</v>
      </c>
      <c r="X29" s="20">
        <f>'TE BE'!$AB$29*'TE BE'!$X$48</f>
        <v>0</v>
      </c>
      <c r="Y29" s="20">
        <f>SUM($X$29:$X$29)</f>
        <v>0</v>
      </c>
      <c r="Z29" s="20">
        <f>'TE BE'!$Z$29*'TE BE'!$Z$48</f>
        <v>0</v>
      </c>
      <c r="AA29" s="20">
        <f>SUM($Z$29:$Z$29)</f>
        <v>0</v>
      </c>
      <c r="AB29" s="20">
        <f>SUMIF($L$4:$AA$4,"SUBTOTAL",$L$29:$AA$29)</f>
        <v>13.77138066929114</v>
      </c>
    </row>
    <row r="30" spans="1:28" ht="11.25" customHeight="1" x14ac:dyDescent="0.3">
      <c r="A30" s="102"/>
      <c r="B30" s="102"/>
      <c r="C30" s="102"/>
      <c r="D30" s="102"/>
      <c r="E30" s="102"/>
      <c r="F30" s="102"/>
      <c r="G30" s="23" t="s">
        <v>70</v>
      </c>
      <c r="H30" s="23" t="s">
        <v>68</v>
      </c>
      <c r="I30" s="23">
        <f>'MERCADO TE'!$U$27</f>
        <v>0</v>
      </c>
      <c r="J30" s="15"/>
      <c r="L30" s="20">
        <f>'TE BE'!$L$30*'TE BE'!$L$48</f>
        <v>0</v>
      </c>
      <c r="M30" s="20">
        <f>'TE BE'!$M$30*'TE BE'!$M$48</f>
        <v>0</v>
      </c>
      <c r="N30" s="20">
        <f>'TE BE'!$N$30*'TE BE'!$N$48</f>
        <v>0</v>
      </c>
      <c r="O30" s="20">
        <f>'TE BE'!$O$30*'TE BE'!$O$48</f>
        <v>0</v>
      </c>
      <c r="P30" s="20">
        <f>'TE BE'!$P$30*'TE BE'!$P$48</f>
        <v>0</v>
      </c>
      <c r="Q30" s="20">
        <f>SUM($L$30:$P$30)</f>
        <v>0</v>
      </c>
      <c r="R30" s="20">
        <f>'TE BE'!$R$30*'TE BE'!$R$48</f>
        <v>13.77138066929114</v>
      </c>
      <c r="S30" s="20">
        <f>SUM($R$30:$R$30)</f>
        <v>13.77138066929114</v>
      </c>
      <c r="T30" s="20">
        <f>'TE BE'!$T$30*'TE BE'!$T$48</f>
        <v>0</v>
      </c>
      <c r="U30" s="20">
        <f>'TE BE'!$U$30*'TE BE'!$U$48</f>
        <v>0</v>
      </c>
      <c r="V30" s="20">
        <f>'TE BE'!$V$30*'TE BE'!$V$48</f>
        <v>0</v>
      </c>
      <c r="W30" s="20">
        <f>SUM($T$30:$V$30)</f>
        <v>0</v>
      </c>
      <c r="X30" s="20">
        <f>'TE BE'!$AB$30*'TE BE'!$X$48</f>
        <v>0</v>
      </c>
      <c r="Y30" s="20">
        <f>SUM($X$30:$X$30)</f>
        <v>0</v>
      </c>
      <c r="Z30" s="20">
        <f>'TE BE'!$Z$30*'TE BE'!$Z$48</f>
        <v>0</v>
      </c>
      <c r="AA30" s="20">
        <f>SUM($Z$30:$Z$30)</f>
        <v>0</v>
      </c>
      <c r="AB30" s="20">
        <f>SUMIF($L$4:$AA$4,"SUBTOTAL",$L$30:$AA$30)</f>
        <v>13.77138066929114</v>
      </c>
    </row>
    <row r="31" spans="1:28" ht="11.25" customHeight="1" x14ac:dyDescent="0.3">
      <c r="A31" s="102"/>
      <c r="B31" s="22" t="s">
        <v>81</v>
      </c>
      <c r="C31" s="22" t="s">
        <v>40</v>
      </c>
      <c r="D31" s="22" t="s">
        <v>86</v>
      </c>
      <c r="E31" s="22" t="s">
        <v>25</v>
      </c>
      <c r="F31" s="22" t="s">
        <v>25</v>
      </c>
      <c r="G31" s="23" t="s">
        <v>74</v>
      </c>
      <c r="H31" s="23" t="s">
        <v>68</v>
      </c>
      <c r="I31" s="23">
        <f>'MERCADO TE'!$U$28</f>
        <v>0</v>
      </c>
      <c r="J31" s="15"/>
      <c r="L31" s="20">
        <f>'TE BE'!$L$31*'TE BE'!$L$48</f>
        <v>0</v>
      </c>
      <c r="M31" s="20">
        <f>'TE BE'!$M$31*'TE BE'!$M$48</f>
        <v>0</v>
      </c>
      <c r="N31" s="20">
        <f>'TE BE'!$N$31*'TE BE'!$N$48</f>
        <v>0</v>
      </c>
      <c r="O31" s="20">
        <f>'TE BE'!$O$31*'TE BE'!$O$48</f>
        <v>0</v>
      </c>
      <c r="P31" s="20">
        <f>'TE BE'!$P$31*'TE BE'!$P$48</f>
        <v>0</v>
      </c>
      <c r="Q31" s="20">
        <f>SUM($L$31:$P$31)</f>
        <v>0</v>
      </c>
      <c r="R31" s="20">
        <f>'TE BE'!$R$31*'TE BE'!$R$48</f>
        <v>13.77138066929114</v>
      </c>
      <c r="S31" s="20">
        <f>SUM($R$31:$R$31)</f>
        <v>13.77138066929114</v>
      </c>
      <c r="T31" s="20">
        <f>'TE BE'!$T$31*'TE BE'!$T$48</f>
        <v>0</v>
      </c>
      <c r="U31" s="20">
        <f>'TE BE'!$U$31*'TE BE'!$U$48</f>
        <v>0</v>
      </c>
      <c r="V31" s="20">
        <f>'TE BE'!$V$31*'TE BE'!$V$48</f>
        <v>0</v>
      </c>
      <c r="W31" s="20">
        <f>SUM($T$31:$V$31)</f>
        <v>0</v>
      </c>
      <c r="X31" s="20">
        <f>'TE BE'!$AB$31*'TE BE'!$X$48</f>
        <v>0</v>
      </c>
      <c r="Y31" s="20">
        <f>SUM($X$31:$X$31)</f>
        <v>0</v>
      </c>
      <c r="Z31" s="20">
        <f>'TE BE'!$Z$31*'TE BE'!$Z$48</f>
        <v>0</v>
      </c>
      <c r="AA31" s="20">
        <f>SUM($Z$31:$Z$31)</f>
        <v>0</v>
      </c>
      <c r="AB31" s="20">
        <f>SUMIF($L$4:$AA$4,"SUBTOTAL",$L$31:$AA$31)</f>
        <v>13.77138066929114</v>
      </c>
    </row>
    <row r="32" spans="1:28" ht="11.25" customHeight="1" x14ac:dyDescent="0.3">
      <c r="A32" s="102"/>
      <c r="B32" s="102" t="s">
        <v>83</v>
      </c>
      <c r="C32" s="102" t="s">
        <v>40</v>
      </c>
      <c r="D32" s="22" t="s">
        <v>25</v>
      </c>
      <c r="E32" s="22" t="s">
        <v>25</v>
      </c>
      <c r="F32" s="22" t="s">
        <v>25</v>
      </c>
      <c r="G32" s="23" t="s">
        <v>74</v>
      </c>
      <c r="H32" s="23" t="s">
        <v>68</v>
      </c>
      <c r="I32" s="23">
        <f>'MERCADO TE'!$U$29</f>
        <v>0</v>
      </c>
      <c r="J32" s="15"/>
      <c r="L32" s="20">
        <f>'TE BE'!$L$32*'TE BE'!$L$48</f>
        <v>0</v>
      </c>
      <c r="M32" s="20">
        <f>'TE BE'!$M$32*'TE BE'!$M$48</f>
        <v>0</v>
      </c>
      <c r="N32" s="20">
        <f>'TE BE'!$N$32*'TE BE'!$N$48</f>
        <v>0</v>
      </c>
      <c r="O32" s="20">
        <f>'TE BE'!$O$32*'TE BE'!$O$48</f>
        <v>0</v>
      </c>
      <c r="P32" s="20">
        <f>'TE BE'!$P$32*'TE BE'!$P$48</f>
        <v>0</v>
      </c>
      <c r="Q32" s="20">
        <f>SUM($L$32:$P$32)</f>
        <v>0</v>
      </c>
      <c r="R32" s="20">
        <f>'TE BE'!$R$32*'TE BE'!$R$48</f>
        <v>13.77138066929114</v>
      </c>
      <c r="S32" s="20">
        <f>SUM($R$32:$R$32)</f>
        <v>13.77138066929114</v>
      </c>
      <c r="T32" s="20">
        <f>'TE BE'!$T$32*'TE BE'!$T$48</f>
        <v>0</v>
      </c>
      <c r="U32" s="20">
        <f>'TE BE'!$U$32*'TE BE'!$U$48</f>
        <v>0</v>
      </c>
      <c r="V32" s="20">
        <f>'TE BE'!$V$32*'TE BE'!$V$48</f>
        <v>0</v>
      </c>
      <c r="W32" s="20">
        <f>SUM($T$32:$V$32)</f>
        <v>0</v>
      </c>
      <c r="X32" s="20">
        <f>'TE BE'!$AB$32*'TE BE'!$X$48</f>
        <v>0</v>
      </c>
      <c r="Y32" s="20">
        <f>SUM($X$32:$X$32)</f>
        <v>0</v>
      </c>
      <c r="Z32" s="20">
        <f>'TE BE'!$Z$32*'TE BE'!$Z$48</f>
        <v>0</v>
      </c>
      <c r="AA32" s="20">
        <f>SUM($Z$32:$Z$32)</f>
        <v>0</v>
      </c>
      <c r="AB32" s="20">
        <f>SUMIF($L$4:$AA$4,"SUBTOTAL",$L$32:$AA$32)</f>
        <v>13.77138066929114</v>
      </c>
    </row>
    <row r="33" spans="1:28" ht="11.25" customHeight="1" x14ac:dyDescent="0.3">
      <c r="A33" s="102"/>
      <c r="B33" s="102"/>
      <c r="C33" s="102"/>
      <c r="D33" s="22" t="s">
        <v>85</v>
      </c>
      <c r="E33" s="22" t="s">
        <v>25</v>
      </c>
      <c r="F33" s="22" t="s">
        <v>25</v>
      </c>
      <c r="G33" s="23" t="s">
        <v>74</v>
      </c>
      <c r="H33" s="23" t="s">
        <v>68</v>
      </c>
      <c r="I33" s="23">
        <f>'MERCADO TE'!$U$30</f>
        <v>0</v>
      </c>
      <c r="J33" s="15"/>
      <c r="L33" s="20">
        <f>'TE BE'!$L$33*'TE BE'!$L$48</f>
        <v>0</v>
      </c>
      <c r="M33" s="20">
        <f>'TE BE'!$M$33*'TE BE'!$M$48</f>
        <v>0</v>
      </c>
      <c r="N33" s="20">
        <f>'TE BE'!$N$33*'TE BE'!$N$48</f>
        <v>0</v>
      </c>
      <c r="O33" s="20">
        <f>'TE BE'!$O$33*'TE BE'!$O$48</f>
        <v>0</v>
      </c>
      <c r="P33" s="20">
        <f>'TE BE'!$P$33*'TE BE'!$P$48</f>
        <v>0</v>
      </c>
      <c r="Q33" s="20">
        <f>SUM($L$33:$P$33)</f>
        <v>0</v>
      </c>
      <c r="R33" s="20">
        <f>'TE BE'!$R$33*'TE BE'!$R$48</f>
        <v>13.77138066929114</v>
      </c>
      <c r="S33" s="20">
        <f>SUM($R$33:$R$33)</f>
        <v>13.77138066929114</v>
      </c>
      <c r="T33" s="20">
        <f>'TE BE'!$T$33*'TE BE'!$T$48</f>
        <v>0</v>
      </c>
      <c r="U33" s="20">
        <f>'TE BE'!$U$33*'TE BE'!$U$48</f>
        <v>0</v>
      </c>
      <c r="V33" s="20">
        <f>'TE BE'!$V$33*'TE BE'!$V$48</f>
        <v>0</v>
      </c>
      <c r="W33" s="20">
        <f>SUM($T$33:$V$33)</f>
        <v>0</v>
      </c>
      <c r="X33" s="20">
        <f>'TE BE'!$AB$33*'TE BE'!$X$48</f>
        <v>0</v>
      </c>
      <c r="Y33" s="20">
        <f>SUM($X$33:$X$33)</f>
        <v>0</v>
      </c>
      <c r="Z33" s="20">
        <f>'TE BE'!$Z$33*'TE BE'!$Z$48</f>
        <v>0</v>
      </c>
      <c r="AA33" s="20">
        <f>SUM($Z$33:$Z$33)</f>
        <v>0</v>
      </c>
      <c r="AB33" s="20">
        <f>SUMIF($L$4:$AA$4,"SUBTOTAL",$L$33:$AA$33)</f>
        <v>13.77138066929114</v>
      </c>
    </row>
    <row r="34" spans="1:28" ht="11.25" customHeight="1" x14ac:dyDescent="0.3">
      <c r="A34" s="102"/>
      <c r="B34" s="102"/>
      <c r="C34" s="102"/>
      <c r="D34" s="22" t="s">
        <v>86</v>
      </c>
      <c r="E34" s="22" t="s">
        <v>25</v>
      </c>
      <c r="F34" s="22" t="s">
        <v>25</v>
      </c>
      <c r="G34" s="23" t="s">
        <v>74</v>
      </c>
      <c r="H34" s="23" t="s">
        <v>68</v>
      </c>
      <c r="I34" s="23">
        <f>'MERCADO TE'!$U$31</f>
        <v>0</v>
      </c>
      <c r="J34" s="15"/>
      <c r="L34" s="20">
        <f>'TE BE'!$L$34*'TE BE'!$L$48</f>
        <v>0</v>
      </c>
      <c r="M34" s="20">
        <f>'TE BE'!$M$34*'TE BE'!$M$48</f>
        <v>0</v>
      </c>
      <c r="N34" s="20">
        <f>'TE BE'!$N$34*'TE BE'!$N$48</f>
        <v>0</v>
      </c>
      <c r="O34" s="20">
        <f>'TE BE'!$O$34*'TE BE'!$O$48</f>
        <v>0</v>
      </c>
      <c r="P34" s="20">
        <f>'TE BE'!$P$34*'TE BE'!$P$48</f>
        <v>0</v>
      </c>
      <c r="Q34" s="20">
        <f>SUM($L$34:$P$34)</f>
        <v>0</v>
      </c>
      <c r="R34" s="20">
        <f>'TE BE'!$R$34*'TE BE'!$R$48</f>
        <v>13.77138066929114</v>
      </c>
      <c r="S34" s="20">
        <f>SUM($R$34:$R$34)</f>
        <v>13.77138066929114</v>
      </c>
      <c r="T34" s="20">
        <f>'TE BE'!$T$34*'TE BE'!$T$48</f>
        <v>0</v>
      </c>
      <c r="U34" s="20">
        <f>'TE BE'!$U$34*'TE BE'!$U$48</f>
        <v>0</v>
      </c>
      <c r="V34" s="20">
        <f>'TE BE'!$V$34*'TE BE'!$V$48</f>
        <v>0</v>
      </c>
      <c r="W34" s="20">
        <f>SUM($T$34:$V$34)</f>
        <v>0</v>
      </c>
      <c r="X34" s="20">
        <f>'TE BE'!$AB$34*'TE BE'!$X$48</f>
        <v>0</v>
      </c>
      <c r="Y34" s="20">
        <f>SUM($X$34:$X$34)</f>
        <v>0</v>
      </c>
      <c r="Z34" s="20">
        <f>'TE BE'!$Z$34*'TE BE'!$Z$48</f>
        <v>0</v>
      </c>
      <c r="AA34" s="20">
        <f>SUM($Z$34:$Z$34)</f>
        <v>0</v>
      </c>
      <c r="AB34" s="20">
        <f>SUMIF($L$4:$AA$4,"SUBTOTAL",$L$34:$AA$34)</f>
        <v>13.77138066929114</v>
      </c>
    </row>
    <row r="35" spans="1:28" ht="11.25" customHeight="1" x14ac:dyDescent="0.3">
      <c r="A35" s="102" t="s">
        <v>31</v>
      </c>
      <c r="B35" s="102" t="s">
        <v>67</v>
      </c>
      <c r="C35" s="102" t="s">
        <v>25</v>
      </c>
      <c r="D35" s="102" t="s">
        <v>25</v>
      </c>
      <c r="E35" s="102" t="s">
        <v>25</v>
      </c>
      <c r="F35" s="102" t="s">
        <v>25</v>
      </c>
      <c r="G35" s="23" t="s">
        <v>69</v>
      </c>
      <c r="H35" s="23" t="s">
        <v>68</v>
      </c>
      <c r="I35" s="23">
        <f>'MERCADO TE'!$U$32</f>
        <v>0</v>
      </c>
      <c r="J35" s="15"/>
      <c r="L35" s="20">
        <f>'TE BE'!$L$35*'TE BE'!$L$48</f>
        <v>0</v>
      </c>
      <c r="M35" s="20">
        <f>'TE BE'!$M$35*'TE BE'!$M$48</f>
        <v>0</v>
      </c>
      <c r="N35" s="20">
        <f>'TE BE'!$N$35*'TE BE'!$N$48</f>
        <v>0</v>
      </c>
      <c r="O35" s="20">
        <f>'TE BE'!$O$35*'TE BE'!$O$48</f>
        <v>0</v>
      </c>
      <c r="P35" s="20">
        <f>'TE BE'!$P$35*'TE BE'!$P$48</f>
        <v>0</v>
      </c>
      <c r="Q35" s="20">
        <f>SUM($L$35:$P$35)</f>
        <v>0</v>
      </c>
      <c r="R35" s="20">
        <f>'TE BE'!$R$35*'TE BE'!$R$48</f>
        <v>13.77138066929114</v>
      </c>
      <c r="S35" s="20">
        <f>SUM($R$35:$R$35)</f>
        <v>13.77138066929114</v>
      </c>
      <c r="T35" s="20">
        <f>'TE BE'!$T$35*'TE BE'!$T$48</f>
        <v>0</v>
      </c>
      <c r="U35" s="20">
        <f>'TE BE'!$U$35*'TE BE'!$U$48</f>
        <v>0</v>
      </c>
      <c r="V35" s="20">
        <f>'TE BE'!$V$35*'TE BE'!$V$48</f>
        <v>0</v>
      </c>
      <c r="W35" s="20">
        <f>SUM($T$35:$V$35)</f>
        <v>0</v>
      </c>
      <c r="X35" s="20">
        <f>'TE BE'!$AB$35*'TE BE'!$X$48</f>
        <v>0</v>
      </c>
      <c r="Y35" s="20">
        <f>SUM($X$35:$X$35)</f>
        <v>0</v>
      </c>
      <c r="Z35" s="20">
        <f>'TE BE'!$Z$35*'TE BE'!$Z$48</f>
        <v>0</v>
      </c>
      <c r="AA35" s="20">
        <f>SUM($Z$35:$Z$35)</f>
        <v>0</v>
      </c>
      <c r="AB35" s="20">
        <f>SUMIF($L$4:$AA$4,"SUBTOTAL",$L$35:$AA$35)</f>
        <v>13.77138066929114</v>
      </c>
    </row>
    <row r="36" spans="1:28" ht="11.25" customHeight="1" x14ac:dyDescent="0.3">
      <c r="A36" s="102"/>
      <c r="B36" s="102"/>
      <c r="C36" s="102"/>
      <c r="D36" s="102"/>
      <c r="E36" s="102"/>
      <c r="F36" s="102"/>
      <c r="G36" s="23" t="s">
        <v>80</v>
      </c>
      <c r="H36" s="23" t="s">
        <v>68</v>
      </c>
      <c r="I36" s="23">
        <f>'MERCADO TE'!$U$33</f>
        <v>0</v>
      </c>
      <c r="J36" s="15"/>
      <c r="L36" s="20">
        <f>'TE BE'!$L$36*'TE BE'!$L$48</f>
        <v>0</v>
      </c>
      <c r="M36" s="20">
        <f>'TE BE'!$M$36*'TE BE'!$M$48</f>
        <v>0</v>
      </c>
      <c r="N36" s="20">
        <f>'TE BE'!$N$36*'TE BE'!$N$48</f>
        <v>0</v>
      </c>
      <c r="O36" s="20">
        <f>'TE BE'!$O$36*'TE BE'!$O$48</f>
        <v>0</v>
      </c>
      <c r="P36" s="20">
        <f>'TE BE'!$P$36*'TE BE'!$P$48</f>
        <v>0</v>
      </c>
      <c r="Q36" s="20">
        <f>SUM($L$36:$P$36)</f>
        <v>0</v>
      </c>
      <c r="R36" s="20">
        <f>'TE BE'!$R$36*'TE BE'!$R$48</f>
        <v>13.77138066929114</v>
      </c>
      <c r="S36" s="20">
        <f>SUM($R$36:$R$36)</f>
        <v>13.77138066929114</v>
      </c>
      <c r="T36" s="20">
        <f>'TE BE'!$T$36*'TE BE'!$T$48</f>
        <v>0</v>
      </c>
      <c r="U36" s="20">
        <f>'TE BE'!$U$36*'TE BE'!$U$48</f>
        <v>0</v>
      </c>
      <c r="V36" s="20">
        <f>'TE BE'!$V$36*'TE BE'!$V$48</f>
        <v>0</v>
      </c>
      <c r="W36" s="20">
        <f>SUM($T$36:$V$36)</f>
        <v>0</v>
      </c>
      <c r="X36" s="20">
        <f>'TE BE'!$AB$36*'TE BE'!$X$48</f>
        <v>0</v>
      </c>
      <c r="Y36" s="20">
        <f>SUM($X$36:$X$36)</f>
        <v>0</v>
      </c>
      <c r="Z36" s="20">
        <f>'TE BE'!$Z$36*'TE BE'!$Z$48</f>
        <v>0</v>
      </c>
      <c r="AA36" s="20">
        <f>SUM($Z$36:$Z$36)</f>
        <v>0</v>
      </c>
      <c r="AB36" s="20">
        <f>SUMIF($L$4:$AA$4,"SUBTOTAL",$L$36:$AA$36)</f>
        <v>13.77138066929114</v>
      </c>
    </row>
    <row r="37" spans="1:28" ht="11.25" customHeight="1" x14ac:dyDescent="0.3">
      <c r="A37" s="102"/>
      <c r="B37" s="102"/>
      <c r="C37" s="102"/>
      <c r="D37" s="102"/>
      <c r="E37" s="102"/>
      <c r="F37" s="102"/>
      <c r="G37" s="23" t="s">
        <v>70</v>
      </c>
      <c r="H37" s="23" t="s">
        <v>68</v>
      </c>
      <c r="I37" s="23">
        <f>'MERCADO TE'!$U$34</f>
        <v>0</v>
      </c>
      <c r="J37" s="15"/>
      <c r="L37" s="20">
        <f>'TE BE'!$L$37*'TE BE'!$L$48</f>
        <v>0</v>
      </c>
      <c r="M37" s="20">
        <f>'TE BE'!$M$37*'TE BE'!$M$48</f>
        <v>0</v>
      </c>
      <c r="N37" s="20">
        <f>'TE BE'!$N$37*'TE BE'!$N$48</f>
        <v>0</v>
      </c>
      <c r="O37" s="20">
        <f>'TE BE'!$O$37*'TE BE'!$O$48</f>
        <v>0</v>
      </c>
      <c r="P37" s="20">
        <f>'TE BE'!$P$37*'TE BE'!$P$48</f>
        <v>0</v>
      </c>
      <c r="Q37" s="20">
        <f>SUM($L$37:$P$37)</f>
        <v>0</v>
      </c>
      <c r="R37" s="20">
        <f>'TE BE'!$R$37*'TE BE'!$R$48</f>
        <v>13.77138066929114</v>
      </c>
      <c r="S37" s="20">
        <f>SUM($R$37:$R$37)</f>
        <v>13.77138066929114</v>
      </c>
      <c r="T37" s="20">
        <f>'TE BE'!$T$37*'TE BE'!$T$48</f>
        <v>0</v>
      </c>
      <c r="U37" s="20">
        <f>'TE BE'!$U$37*'TE BE'!$U$48</f>
        <v>0</v>
      </c>
      <c r="V37" s="20">
        <f>'TE BE'!$V$37*'TE BE'!$V$48</f>
        <v>0</v>
      </c>
      <c r="W37" s="20">
        <f>SUM($T$37:$V$37)</f>
        <v>0</v>
      </c>
      <c r="X37" s="20">
        <f>'TE BE'!$AB$37*'TE BE'!$X$48</f>
        <v>0</v>
      </c>
      <c r="Y37" s="20">
        <f>SUM($X$37:$X$37)</f>
        <v>0</v>
      </c>
      <c r="Z37" s="20">
        <f>'TE BE'!$Z$37*'TE BE'!$Z$48</f>
        <v>0</v>
      </c>
      <c r="AA37" s="20">
        <f>SUM($Z$37:$Z$37)</f>
        <v>0</v>
      </c>
      <c r="AB37" s="20">
        <f>SUMIF($L$4:$AA$4,"SUBTOTAL",$L$37:$AA$37)</f>
        <v>13.77138066929114</v>
      </c>
    </row>
    <row r="38" spans="1:28" ht="11.25" customHeight="1" x14ac:dyDescent="0.3">
      <c r="A38" s="102"/>
      <c r="B38" s="22" t="s">
        <v>81</v>
      </c>
      <c r="C38" s="22" t="s">
        <v>25</v>
      </c>
      <c r="D38" s="22" t="s">
        <v>25</v>
      </c>
      <c r="E38" s="22" t="s">
        <v>25</v>
      </c>
      <c r="F38" s="22" t="s">
        <v>25</v>
      </c>
      <c r="G38" s="23" t="s">
        <v>74</v>
      </c>
      <c r="H38" s="23" t="s">
        <v>68</v>
      </c>
      <c r="I38" s="23">
        <f>'MERCADO TE'!$U$35</f>
        <v>321.71000000000004</v>
      </c>
      <c r="J38" s="15"/>
      <c r="L38" s="20">
        <f>'TE BE'!$L$38*'TE BE'!$L$48</f>
        <v>0</v>
      </c>
      <c r="M38" s="20">
        <f>'TE BE'!$M$38*'TE BE'!$M$48</f>
        <v>0</v>
      </c>
      <c r="N38" s="20">
        <f>'TE BE'!$N$38*'TE BE'!$N$48</f>
        <v>0</v>
      </c>
      <c r="O38" s="20">
        <f>'TE BE'!$O$38*'TE BE'!$O$48</f>
        <v>0</v>
      </c>
      <c r="P38" s="20">
        <f>'TE BE'!$P$38*'TE BE'!$P$48</f>
        <v>0</v>
      </c>
      <c r="Q38" s="20">
        <f>SUM($L$38:$P$38)</f>
        <v>0</v>
      </c>
      <c r="R38" s="20">
        <f>'TE BE'!$R$38*'TE BE'!$R$48</f>
        <v>13.77138066929114</v>
      </c>
      <c r="S38" s="20">
        <f>SUM($R$38:$R$38)</f>
        <v>13.77138066929114</v>
      </c>
      <c r="T38" s="20">
        <f>'TE BE'!$T$38*'TE BE'!$T$48</f>
        <v>0</v>
      </c>
      <c r="U38" s="20">
        <f>'TE BE'!$U$38*'TE BE'!$U$48</f>
        <v>0</v>
      </c>
      <c r="V38" s="20">
        <f>'TE BE'!$V$38*'TE BE'!$V$48</f>
        <v>0</v>
      </c>
      <c r="W38" s="20">
        <f>SUM($T$38:$V$38)</f>
        <v>0</v>
      </c>
      <c r="X38" s="20">
        <f>'TE BE'!$AB$38*'TE BE'!$X$48</f>
        <v>0</v>
      </c>
      <c r="Y38" s="20">
        <f>SUM($X$38:$X$38)</f>
        <v>0</v>
      </c>
      <c r="Z38" s="20">
        <f>'TE BE'!$Z$38*'TE BE'!$Z$48</f>
        <v>0</v>
      </c>
      <c r="AA38" s="20">
        <f>SUM($Z$38:$Z$38)</f>
        <v>0</v>
      </c>
      <c r="AB38" s="20">
        <f>SUMIF($L$4:$AA$4,"SUBTOTAL",$L$38:$AA$38)</f>
        <v>13.77138066929114</v>
      </c>
    </row>
    <row r="39" spans="1:28" ht="11.25" customHeight="1" x14ac:dyDescent="0.3">
      <c r="A39" s="102"/>
      <c r="B39" s="22" t="s">
        <v>83</v>
      </c>
      <c r="C39" s="22" t="s">
        <v>25</v>
      </c>
      <c r="D39" s="22" t="s">
        <v>25</v>
      </c>
      <c r="E39" s="22" t="s">
        <v>25</v>
      </c>
      <c r="F39" s="22" t="s">
        <v>25</v>
      </c>
      <c r="G39" s="23" t="s">
        <v>74</v>
      </c>
      <c r="H39" s="23" t="s">
        <v>68</v>
      </c>
      <c r="I39" s="23">
        <f>'MERCADO TE'!$U$36</f>
        <v>0</v>
      </c>
      <c r="J39" s="15"/>
      <c r="L39" s="20">
        <f>'TE BE'!$L$39*'TE BE'!$L$48</f>
        <v>0</v>
      </c>
      <c r="M39" s="20">
        <f>'TE BE'!$M$39*'TE BE'!$M$48</f>
        <v>0</v>
      </c>
      <c r="N39" s="20">
        <f>'TE BE'!$N$39*'TE BE'!$N$48</f>
        <v>0</v>
      </c>
      <c r="O39" s="20">
        <f>'TE BE'!$O$39*'TE BE'!$O$48</f>
        <v>0</v>
      </c>
      <c r="P39" s="20">
        <f>'TE BE'!$P$39*'TE BE'!$P$48</f>
        <v>0</v>
      </c>
      <c r="Q39" s="20">
        <f>SUM($L$39:$P$39)</f>
        <v>0</v>
      </c>
      <c r="R39" s="20">
        <f>'TE BE'!$R$39*'TE BE'!$R$48</f>
        <v>13.77138066929114</v>
      </c>
      <c r="S39" s="20">
        <f>SUM($R$39:$R$39)</f>
        <v>13.77138066929114</v>
      </c>
      <c r="T39" s="20">
        <f>'TE BE'!$T$39*'TE BE'!$T$48</f>
        <v>0</v>
      </c>
      <c r="U39" s="20">
        <f>'TE BE'!$U$39*'TE BE'!$U$48</f>
        <v>0</v>
      </c>
      <c r="V39" s="20">
        <f>'TE BE'!$V$39*'TE BE'!$V$48</f>
        <v>0</v>
      </c>
      <c r="W39" s="20">
        <f>SUM($T$39:$V$39)</f>
        <v>0</v>
      </c>
      <c r="X39" s="20">
        <f>'TE BE'!$AB$39*'TE BE'!$X$48</f>
        <v>0</v>
      </c>
      <c r="Y39" s="20">
        <f>SUM($X$39:$X$39)</f>
        <v>0</v>
      </c>
      <c r="Z39" s="20">
        <f>'TE BE'!$Z$39*'TE BE'!$Z$48</f>
        <v>0</v>
      </c>
      <c r="AA39" s="20">
        <f>SUM($Z$39:$Z$39)</f>
        <v>0</v>
      </c>
      <c r="AB39" s="20">
        <f>SUMIF($L$4:$AA$4,"SUBTOTAL",$L$39:$AA$39)</f>
        <v>13.77138066929114</v>
      </c>
    </row>
    <row r="40" spans="1:28" ht="11.25" customHeight="1" x14ac:dyDescent="0.3">
      <c r="A40" s="102" t="s">
        <v>43</v>
      </c>
      <c r="B40" s="102" t="s">
        <v>81</v>
      </c>
      <c r="C40" s="102" t="s">
        <v>44</v>
      </c>
      <c r="D40" s="22" t="s">
        <v>45</v>
      </c>
      <c r="E40" s="22" t="s">
        <v>25</v>
      </c>
      <c r="F40" s="22" t="s">
        <v>25</v>
      </c>
      <c r="G40" s="23" t="s">
        <v>74</v>
      </c>
      <c r="H40" s="23" t="s">
        <v>68</v>
      </c>
      <c r="I40" s="23">
        <f>'MERCADO TE'!$U$37</f>
        <v>249.66400000000002</v>
      </c>
      <c r="J40" s="15"/>
      <c r="L40" s="20">
        <f>'TE BE'!$L$40*'TE BE'!$L$48</f>
        <v>0</v>
      </c>
      <c r="M40" s="20">
        <f>'TE BE'!$M$40*'TE BE'!$M$48</f>
        <v>0</v>
      </c>
      <c r="N40" s="20">
        <f>'TE BE'!$N$40*'TE BE'!$N$48</f>
        <v>0</v>
      </c>
      <c r="O40" s="20">
        <f>'TE BE'!$O$40*'TE BE'!$O$48</f>
        <v>0</v>
      </c>
      <c r="P40" s="20">
        <f>'TE BE'!$P$40*'TE BE'!$P$48</f>
        <v>0</v>
      </c>
      <c r="Q40" s="20">
        <f>SUM($L$40:$P$40)</f>
        <v>0</v>
      </c>
      <c r="R40" s="20">
        <f>'TE BE'!$R$40*'TE BE'!$R$48</f>
        <v>7.5742593681101278</v>
      </c>
      <c r="S40" s="20">
        <f>SUM($R$40:$R$40)</f>
        <v>7.5742593681101278</v>
      </c>
      <c r="T40" s="20">
        <f>'TE BE'!$T$40*'TE BE'!$T$48</f>
        <v>0</v>
      </c>
      <c r="U40" s="20">
        <f>'TE BE'!$U$40*'TE BE'!$U$48</f>
        <v>0</v>
      </c>
      <c r="V40" s="20">
        <f>'TE BE'!$V$40*'TE BE'!$V$48</f>
        <v>0</v>
      </c>
      <c r="W40" s="20">
        <f>SUM($T$40:$V$40)</f>
        <v>0</v>
      </c>
      <c r="X40" s="20">
        <f>'TE BE'!$AB$40*'TE BE'!$X$48</f>
        <v>0</v>
      </c>
      <c r="Y40" s="20">
        <f>SUM($X$40:$X$40)</f>
        <v>0</v>
      </c>
      <c r="Z40" s="20">
        <f>'TE BE'!$Z$40*'TE BE'!$Z$48</f>
        <v>0</v>
      </c>
      <c r="AA40" s="20">
        <f>SUM($Z$40:$Z$40)</f>
        <v>0</v>
      </c>
      <c r="AB40" s="20">
        <f>SUMIF($L$4:$AA$4,"SUBTOTAL",$L$40:$AA$40)</f>
        <v>7.5742593681101278</v>
      </c>
    </row>
    <row r="41" spans="1:28" ht="11.25" customHeight="1" x14ac:dyDescent="0.3">
      <c r="A41" s="102"/>
      <c r="B41" s="102"/>
      <c r="C41" s="102"/>
      <c r="D41" s="23" t="s">
        <v>87</v>
      </c>
      <c r="E41" s="23" t="s">
        <v>25</v>
      </c>
      <c r="F41" s="23" t="s">
        <v>25</v>
      </c>
      <c r="G41" s="23" t="s">
        <v>74</v>
      </c>
      <c r="H41" s="23" t="s">
        <v>68</v>
      </c>
      <c r="I41" s="23">
        <f>'MERCADO TE'!$U$38</f>
        <v>0</v>
      </c>
      <c r="J41" s="15"/>
      <c r="L41" s="20">
        <f>'TE BE'!$L$41*'TE BE'!$L$48</f>
        <v>0</v>
      </c>
      <c r="M41" s="20">
        <f>'TE BE'!$M$41*'TE BE'!$M$48</f>
        <v>0</v>
      </c>
      <c r="N41" s="20">
        <f>'TE BE'!$N$41*'TE BE'!$N$48</f>
        <v>0</v>
      </c>
      <c r="O41" s="20">
        <f>'TE BE'!$O$41*'TE BE'!$O$48</f>
        <v>0</v>
      </c>
      <c r="P41" s="20">
        <f>'TE BE'!$P$41*'TE BE'!$P$48</f>
        <v>0</v>
      </c>
      <c r="Q41" s="20">
        <f>SUM($L$41:$P$41)</f>
        <v>0</v>
      </c>
      <c r="R41" s="20">
        <f>'TE BE'!$R$41*'TE BE'!$R$48</f>
        <v>8.2628284015746836</v>
      </c>
      <c r="S41" s="20">
        <f>SUM($R$41:$R$41)</f>
        <v>8.2628284015746836</v>
      </c>
      <c r="T41" s="20">
        <f>'TE BE'!$T$41*'TE BE'!$T$48</f>
        <v>0</v>
      </c>
      <c r="U41" s="20">
        <f>'TE BE'!$U$41*'TE BE'!$U$48</f>
        <v>0</v>
      </c>
      <c r="V41" s="20">
        <f>'TE BE'!$V$41*'TE BE'!$V$48</f>
        <v>0</v>
      </c>
      <c r="W41" s="20">
        <f>SUM($T$41:$V$41)</f>
        <v>0</v>
      </c>
      <c r="X41" s="20">
        <f>'TE BE'!$AB$41*'TE BE'!$X$48</f>
        <v>0</v>
      </c>
      <c r="Y41" s="20">
        <f>SUM($X$41:$X$41)</f>
        <v>0</v>
      </c>
      <c r="Z41" s="20">
        <f>'TE BE'!$Z$41*'TE BE'!$Z$48</f>
        <v>0</v>
      </c>
      <c r="AA41" s="20">
        <f>SUM($Z$41:$Z$41)</f>
        <v>0</v>
      </c>
      <c r="AB41" s="20">
        <f>SUMIF($L$4:$AA$4,"SUBTOTAL",$L$41:$AA$41)</f>
        <v>8.2628284015746836</v>
      </c>
    </row>
    <row r="43" spans="1:28" ht="11.25" customHeight="1" x14ac:dyDescent="0.3">
      <c r="K43" s="25" t="s">
        <v>490</v>
      </c>
      <c r="L43" s="20">
        <f t="shared" ref="L43:AB43" si="0">SUMPRODUCT($I$5:$I$41,L$5:L$41)</f>
        <v>0</v>
      </c>
      <c r="M43" s="20">
        <f t="shared" si="0"/>
        <v>0</v>
      </c>
      <c r="N43" s="20">
        <f t="shared" si="0"/>
        <v>0</v>
      </c>
      <c r="O43" s="20">
        <f t="shared" si="0"/>
        <v>0</v>
      </c>
      <c r="P43" s="20">
        <f t="shared" si="0"/>
        <v>0</v>
      </c>
      <c r="Q43" s="20">
        <f t="shared" si="0"/>
        <v>0</v>
      </c>
      <c r="R43" s="20">
        <f t="shared" si="0"/>
        <v>246488.2164595598</v>
      </c>
      <c r="S43" s="20">
        <f t="shared" si="0"/>
        <v>246488.2164595598</v>
      </c>
      <c r="T43" s="20">
        <f t="shared" si="0"/>
        <v>0</v>
      </c>
      <c r="U43" s="20">
        <f t="shared" si="0"/>
        <v>0</v>
      </c>
      <c r="V43" s="20">
        <f t="shared" si="0"/>
        <v>0</v>
      </c>
      <c r="W43" s="20">
        <f t="shared" si="0"/>
        <v>0</v>
      </c>
      <c r="X43" s="20">
        <f t="shared" si="0"/>
        <v>0</v>
      </c>
      <c r="Y43" s="20">
        <f t="shared" si="0"/>
        <v>0</v>
      </c>
      <c r="Z43" s="20">
        <f t="shared" si="0"/>
        <v>0</v>
      </c>
      <c r="AA43" s="20">
        <f t="shared" si="0"/>
        <v>0</v>
      </c>
      <c r="AB43" s="20">
        <f t="shared" si="0"/>
        <v>246488.2164595598</v>
      </c>
    </row>
    <row r="44" spans="1:28" ht="11.25" customHeight="1" x14ac:dyDescent="0.3">
      <c r="K44" s="25" t="s">
        <v>409</v>
      </c>
      <c r="L44" s="20">
        <f>CUSTOS!$D$30</f>
        <v>0</v>
      </c>
      <c r="M44" s="20">
        <f>CUSTOS!$D$31</f>
        <v>286370.12</v>
      </c>
      <c r="N44" s="20">
        <f>CUSTOS!$D$32</f>
        <v>0</v>
      </c>
      <c r="O44" s="20">
        <f>CUSTOS!$D$33</f>
        <v>0</v>
      </c>
      <c r="P44" s="20">
        <f>CUSTOS!$D$34</f>
        <v>0</v>
      </c>
      <c r="Q44" s="20">
        <f>CUSTOS!$D$35</f>
        <v>286370.12</v>
      </c>
      <c r="R44" s="20">
        <f>CUSTOS!$D$36</f>
        <v>3436906.3383104918</v>
      </c>
      <c r="S44" s="20">
        <f>CUSTOS!$D$37</f>
        <v>3436906.3383104918</v>
      </c>
      <c r="T44" s="20">
        <f>CUSTOS!$D$38</f>
        <v>0</v>
      </c>
      <c r="U44" s="20">
        <f>CUSTOS!$D$39</f>
        <v>0</v>
      </c>
      <c r="V44" s="20">
        <f>CUSTOS!$D$40</f>
        <v>0</v>
      </c>
      <c r="W44" s="20">
        <f>CUSTOS!$D$41</f>
        <v>0</v>
      </c>
      <c r="X44" s="20">
        <f>CUSTOS!$D$42</f>
        <v>0</v>
      </c>
      <c r="Y44" s="20">
        <f>CUSTOS!$D$43</f>
        <v>0</v>
      </c>
      <c r="Z44" s="20">
        <f>CUSTOS!$D$44</f>
        <v>0</v>
      </c>
      <c r="AA44" s="20">
        <f>CUSTOS!$D$45</f>
        <v>0</v>
      </c>
      <c r="AB44" s="20">
        <f>CUSTOS!$D$46</f>
        <v>3723276.4583104919</v>
      </c>
    </row>
    <row r="45" spans="1:28" ht="11.25" customHeight="1" x14ac:dyDescent="0.3">
      <c r="K45" s="25" t="s">
        <v>410</v>
      </c>
      <c r="L45" s="20">
        <f>CUSTOS!$E$30</f>
        <v>0</v>
      </c>
      <c r="M45" s="20">
        <f>CUSTOS!$E$31</f>
        <v>0</v>
      </c>
      <c r="N45" s="20">
        <f>CUSTOS!$E$32</f>
        <v>0</v>
      </c>
      <c r="O45" s="20">
        <f>CUSTOS!$E$33</f>
        <v>0</v>
      </c>
      <c r="P45" s="20">
        <f>CUSTOS!$E$34</f>
        <v>0</v>
      </c>
      <c r="Q45" s="20">
        <f>CUSTOS!$E$35</f>
        <v>0</v>
      </c>
      <c r="R45" s="20">
        <f>CUSTOS!$E$36</f>
        <v>246488.21645955983</v>
      </c>
      <c r="S45" s="20">
        <f>CUSTOS!$E$37</f>
        <v>246488.21645955983</v>
      </c>
      <c r="T45" s="20">
        <f>CUSTOS!$E$38</f>
        <v>0</v>
      </c>
      <c r="U45" s="20">
        <f>CUSTOS!$E$39</f>
        <v>0</v>
      </c>
      <c r="V45" s="20">
        <f>CUSTOS!$E$40</f>
        <v>0</v>
      </c>
      <c r="W45" s="20">
        <f>CUSTOS!$E$41</f>
        <v>0</v>
      </c>
      <c r="X45" s="20">
        <f>CUSTOS!$E$42</f>
        <v>0</v>
      </c>
      <c r="Y45" s="20">
        <f>CUSTOS!$E$43</f>
        <v>0</v>
      </c>
      <c r="Z45" s="20">
        <f>CUSTOS!$E$44</f>
        <v>0</v>
      </c>
      <c r="AA45" s="20">
        <f>CUSTOS!$E$45</f>
        <v>0</v>
      </c>
      <c r="AB45" s="20">
        <f>CUSTOS!$E$46</f>
        <v>246488.21645955983</v>
      </c>
    </row>
    <row r="46" spans="1:28" ht="11.25" customHeight="1" x14ac:dyDescent="0.3">
      <c r="K46" s="25" t="s">
        <v>411</v>
      </c>
      <c r="L46" s="20">
        <f>CUSTOS!$F$30</f>
        <v>0</v>
      </c>
      <c r="M46" s="20">
        <f>CUSTOS!$F$31</f>
        <v>0</v>
      </c>
      <c r="N46" s="20">
        <f>CUSTOS!$F$32</f>
        <v>0</v>
      </c>
      <c r="O46" s="20">
        <f>CUSTOS!$F$33</f>
        <v>0</v>
      </c>
      <c r="P46" s="20">
        <f>CUSTOS!$F$34</f>
        <v>0</v>
      </c>
      <c r="Q46" s="20">
        <f>CUSTOS!$F$35</f>
        <v>0</v>
      </c>
      <c r="R46" s="20">
        <f>CUSTOS!$F$36</f>
        <v>0</v>
      </c>
      <c r="S46" s="20">
        <f>CUSTOS!$F$37</f>
        <v>0</v>
      </c>
      <c r="T46" s="20">
        <f>CUSTOS!$F$38</f>
        <v>0</v>
      </c>
      <c r="U46" s="20">
        <f>CUSTOS!$F$39</f>
        <v>0</v>
      </c>
      <c r="V46" s="20">
        <f>CUSTOS!$F$40</f>
        <v>0</v>
      </c>
      <c r="W46" s="20">
        <f>CUSTOS!$F$41</f>
        <v>0</v>
      </c>
      <c r="X46" s="20">
        <f>CUSTOS!$F$42</f>
        <v>0</v>
      </c>
      <c r="Y46" s="20">
        <f>CUSTOS!$F$43</f>
        <v>0</v>
      </c>
      <c r="Z46" s="20">
        <f>CUSTOS!$F$44</f>
        <v>0</v>
      </c>
      <c r="AA46" s="20">
        <f>CUSTOS!$F$45</f>
        <v>0</v>
      </c>
      <c r="AB46" s="20">
        <f>CUSTOS!$F$46</f>
        <v>0</v>
      </c>
    </row>
    <row r="47" spans="1:28" ht="11.25" customHeight="1" x14ac:dyDescent="0.3">
      <c r="K47" s="25" t="s">
        <v>491</v>
      </c>
      <c r="L47" s="20">
        <f>'TR TE'!$L$47*L48</f>
        <v>0</v>
      </c>
      <c r="M47" s="20">
        <f>'TR TE'!$M$47*M48</f>
        <v>0</v>
      </c>
      <c r="N47" s="20">
        <f>'TR TE'!$N$47*N48</f>
        <v>0</v>
      </c>
      <c r="O47" s="20">
        <f>'TR TE'!$O$47*O48</f>
        <v>0</v>
      </c>
      <c r="P47" s="20">
        <f>'TR TE'!$P$47*P48</f>
        <v>0</v>
      </c>
      <c r="Q47" s="20"/>
      <c r="R47" s="20">
        <f>'TR TE'!$R$47*R48</f>
        <v>0</v>
      </c>
      <c r="S47" s="20"/>
      <c r="T47" s="20">
        <f>'TR TE'!$T$47*T48</f>
        <v>0</v>
      </c>
      <c r="U47" s="20">
        <f>'TR TE'!$U$47*U48</f>
        <v>0</v>
      </c>
      <c r="V47" s="20">
        <f>'TR TE'!$V$47*V48</f>
        <v>0</v>
      </c>
      <c r="W47" s="20"/>
      <c r="X47" s="20"/>
      <c r="Y47" s="20"/>
      <c r="Z47" s="20">
        <f>'TR TE'!$Z$47*Z48</f>
        <v>0</v>
      </c>
      <c r="AA47" s="20"/>
      <c r="AB47" s="20"/>
    </row>
    <row r="48" spans="1:28" ht="11.25" customHeight="1" x14ac:dyDescent="0.3">
      <c r="K48" s="25" t="s">
        <v>486</v>
      </c>
      <c r="L48" s="20">
        <f>IF(L44&lt;&gt;0,L46/L44,0)</f>
        <v>0</v>
      </c>
      <c r="M48" s="20">
        <f>IF(M44&lt;&gt;0,M46/M44,0)</f>
        <v>0</v>
      </c>
      <c r="N48" s="20">
        <f>IF(N44&lt;&gt;0,N46/N44,0)</f>
        <v>0</v>
      </c>
      <c r="O48" s="20">
        <f>IF(O44&lt;&gt;0,O46/O44,0)</f>
        <v>0</v>
      </c>
      <c r="P48" s="20">
        <f>IF(P44&lt;&gt;0,P46/P44,0)</f>
        <v>0</v>
      </c>
      <c r="Q48" s="20"/>
      <c r="R48" s="20">
        <f>IF(R44&lt;&gt;0,R46/R44,0)</f>
        <v>0</v>
      </c>
      <c r="S48" s="20"/>
      <c r="T48" s="20">
        <f>IF(T44&lt;&gt;0,T46/T44,0)</f>
        <v>0</v>
      </c>
      <c r="U48" s="20">
        <f>IF(U44&lt;&gt;0,U46/U44,0)</f>
        <v>0</v>
      </c>
      <c r="V48" s="20">
        <f>IF(V44&lt;&gt;0,V46/V44,0)</f>
        <v>0</v>
      </c>
      <c r="W48" s="20"/>
      <c r="X48" s="20">
        <f>IF($AB44&lt;&gt;0,X46/($AB44-SUM('TR TE'!$L47:'TR TE'!$AA47)*0),0)</f>
        <v>0</v>
      </c>
      <c r="Y48" s="20"/>
      <c r="Z48" s="20">
        <f>IF(Z44&lt;&gt;0,Z46/Z44,0)</f>
        <v>0</v>
      </c>
      <c r="AA48" s="20"/>
      <c r="AB48" s="20"/>
    </row>
    <row r="49" spans="11:28" ht="11.25" customHeight="1" x14ac:dyDescent="0.3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</sheetData>
  <mergeCells count="61">
    <mergeCell ref="T3:W3"/>
    <mergeCell ref="X3:Y3"/>
    <mergeCell ref="A1:A4"/>
    <mergeCell ref="B1:B4"/>
    <mergeCell ref="C1:C4"/>
    <mergeCell ref="D1:D4"/>
    <mergeCell ref="E1:E4"/>
    <mergeCell ref="F1:F4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F7:F9"/>
    <mergeCell ref="B10:B14"/>
    <mergeCell ref="C10:C14"/>
    <mergeCell ref="B15:B19"/>
    <mergeCell ref="C15:C19"/>
    <mergeCell ref="A7:A19"/>
    <mergeCell ref="B7:B9"/>
    <mergeCell ref="C7:C9"/>
    <mergeCell ref="D7:D9"/>
    <mergeCell ref="E7:E9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E35:E37"/>
    <mergeCell ref="F35:F37"/>
    <mergeCell ref="A40:A41"/>
    <mergeCell ref="B40:B41"/>
    <mergeCell ref="C40:C41"/>
    <mergeCell ref="D35:D37"/>
  </mergeCells>
  <conditionalFormatting sqref="L43">
    <cfRule type="cellIs" dxfId="590" priority="33" operator="notEqual">
      <formula>$L$45</formula>
    </cfRule>
    <cfRule type="cellIs" dxfId="589" priority="34" operator="equal">
      <formula>$L$45</formula>
    </cfRule>
  </conditionalFormatting>
  <conditionalFormatting sqref="M43">
    <cfRule type="cellIs" dxfId="588" priority="31" operator="notEqual">
      <formula>$M$45</formula>
    </cfRule>
    <cfRule type="cellIs" dxfId="587" priority="32" operator="equal">
      <formula>$M$45</formula>
    </cfRule>
  </conditionalFormatting>
  <conditionalFormatting sqref="N43">
    <cfRule type="cellIs" dxfId="586" priority="29" operator="notEqual">
      <formula>$N$45</formula>
    </cfRule>
    <cfRule type="cellIs" dxfId="585" priority="30" operator="equal">
      <formula>$N$45</formula>
    </cfRule>
  </conditionalFormatting>
  <conditionalFormatting sqref="O43">
    <cfRule type="cellIs" dxfId="584" priority="27" operator="notEqual">
      <formula>$O$45</formula>
    </cfRule>
    <cfRule type="cellIs" dxfId="583" priority="28" operator="equal">
      <formula>$O$45</formula>
    </cfRule>
  </conditionalFormatting>
  <conditionalFormatting sqref="P43">
    <cfRule type="cellIs" dxfId="582" priority="25" operator="notEqual">
      <formula>$P$45</formula>
    </cfRule>
    <cfRule type="cellIs" dxfId="581" priority="26" operator="equal">
      <formula>$P$45</formula>
    </cfRule>
  </conditionalFormatting>
  <conditionalFormatting sqref="Q43">
    <cfRule type="cellIs" dxfId="580" priority="23" operator="notEqual">
      <formula>$Q$45</formula>
    </cfRule>
    <cfRule type="cellIs" dxfId="579" priority="24" operator="equal">
      <formula>$Q$45</formula>
    </cfRule>
  </conditionalFormatting>
  <conditionalFormatting sqref="R43">
    <cfRule type="cellIs" dxfId="578" priority="21" operator="notEqual">
      <formula>$R$45</formula>
    </cfRule>
    <cfRule type="cellIs" dxfId="577" priority="22" operator="equal">
      <formula>$R$45</formula>
    </cfRule>
  </conditionalFormatting>
  <conditionalFormatting sqref="S43">
    <cfRule type="cellIs" dxfId="576" priority="19" operator="notEqual">
      <formula>$S$45</formula>
    </cfRule>
    <cfRule type="cellIs" dxfId="575" priority="20" operator="equal">
      <formula>$S$45</formula>
    </cfRule>
  </conditionalFormatting>
  <conditionalFormatting sqref="T43">
    <cfRule type="cellIs" dxfId="574" priority="17" operator="notEqual">
      <formula>$T$45</formula>
    </cfRule>
    <cfRule type="cellIs" dxfId="573" priority="18" operator="equal">
      <formula>$T$45</formula>
    </cfRule>
  </conditionalFormatting>
  <conditionalFormatting sqref="U43">
    <cfRule type="cellIs" dxfId="572" priority="15" operator="notEqual">
      <formula>$U$45</formula>
    </cfRule>
    <cfRule type="cellIs" dxfId="571" priority="16" operator="equal">
      <formula>$U$45</formula>
    </cfRule>
  </conditionalFormatting>
  <conditionalFormatting sqref="V43">
    <cfRule type="cellIs" dxfId="570" priority="13" operator="notEqual">
      <formula>$V$45</formula>
    </cfRule>
    <cfRule type="cellIs" dxfId="569" priority="14" operator="equal">
      <formula>$V$45</formula>
    </cfRule>
  </conditionalFormatting>
  <conditionalFormatting sqref="W43">
    <cfRule type="cellIs" dxfId="568" priority="11" operator="notEqual">
      <formula>$W$45</formula>
    </cfRule>
    <cfRule type="cellIs" dxfId="567" priority="12" operator="equal">
      <formula>$W$45</formula>
    </cfRule>
  </conditionalFormatting>
  <conditionalFormatting sqref="X43">
    <cfRule type="cellIs" dxfId="566" priority="9" operator="notEqual">
      <formula>$X$45</formula>
    </cfRule>
    <cfRule type="cellIs" dxfId="565" priority="10" operator="equal">
      <formula>$X$45</formula>
    </cfRule>
  </conditionalFormatting>
  <conditionalFormatting sqref="Y43">
    <cfRule type="cellIs" dxfId="564" priority="7" operator="notEqual">
      <formula>$Y$45</formula>
    </cfRule>
    <cfRule type="cellIs" dxfId="563" priority="8" operator="equal">
      <formula>$Y$45</formula>
    </cfRule>
  </conditionalFormatting>
  <conditionalFormatting sqref="Z43">
    <cfRule type="cellIs" dxfId="562" priority="5" operator="notEqual">
      <formula>$Z$45</formula>
    </cfRule>
    <cfRule type="cellIs" dxfId="561" priority="6" operator="equal">
      <formula>$Z$45</formula>
    </cfRule>
  </conditionalFormatting>
  <conditionalFormatting sqref="AA43">
    <cfRule type="cellIs" dxfId="560" priority="3" operator="notEqual">
      <formula>$AA$45</formula>
    </cfRule>
    <cfRule type="cellIs" dxfId="559" priority="4" operator="equal">
      <formula>$AA$45</formula>
    </cfRule>
  </conditionalFormatting>
  <conditionalFormatting sqref="AB43">
    <cfRule type="cellIs" dxfId="558" priority="1" operator="notEqual">
      <formula>$AB$45</formula>
    </cfRule>
    <cfRule type="cellIs" dxfId="557" priority="2" operator="equal">
      <formula>$AB$45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DE50-B749-434C-9A3B-A22DB2BCA40C}">
  <dimension ref="A1:AB49"/>
  <sheetViews>
    <sheetView showGridLines="0" topLeftCell="P31" workbookViewId="0">
      <selection activeCell="AB43" sqref="AB43"/>
    </sheetView>
  </sheetViews>
  <sheetFormatPr defaultRowHeight="11.25" customHeight="1" x14ac:dyDescent="0.3"/>
  <cols>
    <col min="1" max="1" width="9" style="9" bestFit="1" customWidth="1"/>
    <col min="2" max="2" width="24.66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9" width="7.109375" style="9" bestFit="1" customWidth="1"/>
    <col min="10" max="10" width="8.88671875" style="9"/>
    <col min="11" max="11" width="14.109375" style="9" bestFit="1" customWidth="1"/>
    <col min="12" max="12" width="7.109375" style="9" bestFit="1" customWidth="1"/>
    <col min="13" max="13" width="7.88671875" style="9" bestFit="1" customWidth="1"/>
    <col min="14" max="14" width="7.109375" style="9" bestFit="1" customWidth="1"/>
    <col min="15" max="15" width="10.33203125" style="9" bestFit="1" customWidth="1"/>
    <col min="16" max="16" width="7.6640625" style="9" bestFit="1" customWidth="1"/>
    <col min="17" max="17" width="8.5546875" style="9" bestFit="1" customWidth="1"/>
    <col min="18" max="18" width="14.44140625" style="9" bestFit="1" customWidth="1"/>
    <col min="19" max="19" width="9.109375" style="9" bestFit="1" customWidth="1"/>
    <col min="20" max="20" width="7.109375" style="9" bestFit="1" customWidth="1"/>
    <col min="21" max="21" width="9.77734375" style="9" bestFit="1" customWidth="1"/>
    <col min="22" max="22" width="7.109375" style="9" bestFit="1" customWidth="1"/>
    <col min="23" max="23" width="8.5546875" style="9" bestFit="1" customWidth="1"/>
    <col min="24" max="24" width="7.77734375" style="9" bestFit="1" customWidth="1"/>
    <col min="25" max="25" width="8.5546875" style="9" bestFit="1" customWidth="1"/>
    <col min="26" max="26" width="10.5546875" style="9" bestFit="1" customWidth="1"/>
    <col min="27" max="27" width="8.5546875" style="9" bestFit="1" customWidth="1"/>
    <col min="28" max="28" width="9.109375" style="9" bestFit="1" customWidth="1"/>
    <col min="29" max="16384" width="8.88671875" style="9"/>
  </cols>
  <sheetData>
    <row r="1" spans="1:28" ht="11.25" customHeight="1" x14ac:dyDescent="0.3">
      <c r="A1" s="101" t="s">
        <v>58</v>
      </c>
      <c r="B1" s="101" t="s">
        <v>59</v>
      </c>
      <c r="C1" s="101" t="s">
        <v>60</v>
      </c>
      <c r="D1" s="101" t="s">
        <v>61</v>
      </c>
      <c r="E1" s="101" t="s">
        <v>62</v>
      </c>
      <c r="F1" s="101" t="s">
        <v>15</v>
      </c>
      <c r="G1" s="101" t="s">
        <v>64</v>
      </c>
      <c r="H1" s="101" t="s">
        <v>65</v>
      </c>
      <c r="I1" s="101" t="s">
        <v>468</v>
      </c>
      <c r="J1" s="80"/>
      <c r="L1" s="99" t="s">
        <v>496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1.2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80"/>
      <c r="L2" s="99" t="s">
        <v>395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11.25" customHeight="1" x14ac:dyDescent="0.3">
      <c r="A3" s="101"/>
      <c r="B3" s="101"/>
      <c r="C3" s="101"/>
      <c r="D3" s="101"/>
      <c r="E3" s="101"/>
      <c r="F3" s="101"/>
      <c r="G3" s="101"/>
      <c r="H3" s="101"/>
      <c r="I3" s="101"/>
      <c r="J3" s="80"/>
      <c r="L3" s="99" t="s">
        <v>368</v>
      </c>
      <c r="M3" s="99"/>
      <c r="N3" s="99"/>
      <c r="O3" s="99"/>
      <c r="P3" s="99"/>
      <c r="Q3" s="99"/>
      <c r="R3" s="99" t="s">
        <v>399</v>
      </c>
      <c r="S3" s="99"/>
      <c r="T3" s="99" t="s">
        <v>377</v>
      </c>
      <c r="U3" s="99"/>
      <c r="V3" s="99"/>
      <c r="W3" s="99"/>
      <c r="X3" s="99" t="s">
        <v>387</v>
      </c>
      <c r="Y3" s="99"/>
      <c r="Z3" s="99" t="s">
        <v>390</v>
      </c>
      <c r="AA3" s="99"/>
      <c r="AB3" s="99" t="s">
        <v>376</v>
      </c>
    </row>
    <row r="4" spans="1:28" ht="11.25" customHeight="1" x14ac:dyDescent="0.3">
      <c r="A4" s="101"/>
      <c r="B4" s="101"/>
      <c r="C4" s="101"/>
      <c r="D4" s="101"/>
      <c r="E4" s="101"/>
      <c r="F4" s="101"/>
      <c r="G4" s="101"/>
      <c r="H4" s="101"/>
      <c r="I4" s="101"/>
      <c r="J4" s="80"/>
      <c r="L4" s="24" t="s">
        <v>370</v>
      </c>
      <c r="M4" s="24" t="s">
        <v>396</v>
      </c>
      <c r="N4" s="24" t="s">
        <v>397</v>
      </c>
      <c r="O4" s="24" t="s">
        <v>456</v>
      </c>
      <c r="P4" s="24" t="s">
        <v>398</v>
      </c>
      <c r="Q4" s="24" t="s">
        <v>376</v>
      </c>
      <c r="R4" s="24" t="s">
        <v>400</v>
      </c>
      <c r="S4" s="24" t="s">
        <v>376</v>
      </c>
      <c r="T4" s="24" t="s">
        <v>401</v>
      </c>
      <c r="U4" s="24" t="s">
        <v>402</v>
      </c>
      <c r="V4" s="24" t="s">
        <v>403</v>
      </c>
      <c r="W4" s="24" t="s">
        <v>376</v>
      </c>
      <c r="X4" s="24" t="s">
        <v>388</v>
      </c>
      <c r="Y4" s="24" t="s">
        <v>376</v>
      </c>
      <c r="Z4" s="24" t="s">
        <v>404</v>
      </c>
      <c r="AA4" s="24" t="s">
        <v>376</v>
      </c>
      <c r="AB4" s="100"/>
    </row>
    <row r="5" spans="1:28" ht="11.25" customHeight="1" x14ac:dyDescent="0.3">
      <c r="A5" s="102" t="s">
        <v>33</v>
      </c>
      <c r="B5" s="102" t="s">
        <v>67</v>
      </c>
      <c r="C5" s="102" t="s">
        <v>25</v>
      </c>
      <c r="D5" s="102" t="s">
        <v>25</v>
      </c>
      <c r="E5" s="102" t="s">
        <v>25</v>
      </c>
      <c r="F5" s="102" t="s">
        <v>25</v>
      </c>
      <c r="G5" s="23" t="s">
        <v>69</v>
      </c>
      <c r="H5" s="23" t="s">
        <v>68</v>
      </c>
      <c r="I5" s="23">
        <f>'MERCADO TE'!$U$2</f>
        <v>917.56700000000001</v>
      </c>
      <c r="J5" s="15"/>
      <c r="L5" s="20">
        <f>'TE BE'!$L$5*'TE BF'!$L$48</f>
        <v>0</v>
      </c>
      <c r="M5" s="20">
        <f>'TE BE'!$M$5*'TE BF'!$M$48</f>
        <v>0</v>
      </c>
      <c r="N5" s="20">
        <f>'TE BE'!$N$5*'TE BF'!$N$48</f>
        <v>0</v>
      </c>
      <c r="O5" s="20">
        <f>'TE BE'!$O$5*'TE BF'!$O$48</f>
        <v>0</v>
      </c>
      <c r="P5" s="20">
        <f>'TE BE'!$P$5*'TE BF'!$P$48</f>
        <v>0</v>
      </c>
      <c r="Q5" s="20">
        <f>SUM($L$5:$P$5)</f>
        <v>0</v>
      </c>
      <c r="R5" s="20">
        <f>'TE BE'!$R$5*'TE BF'!$R$48</f>
        <v>0</v>
      </c>
      <c r="S5" s="20">
        <f>SUM($R$5:$R$5)</f>
        <v>0</v>
      </c>
      <c r="T5" s="20">
        <f>'TE BE'!$T$5*'TE BF'!$T$48</f>
        <v>0</v>
      </c>
      <c r="U5" s="20">
        <f>'TE BE'!$U$5*'TE BF'!$U$48</f>
        <v>0</v>
      </c>
      <c r="V5" s="20">
        <f>'TE BE'!$V$5*'TE BF'!$V$48</f>
        <v>0</v>
      </c>
      <c r="W5" s="20">
        <f>SUM($T$5:$V$5)</f>
        <v>0</v>
      </c>
      <c r="X5" s="20">
        <f>'TE BE'!$AB$5*'TE BF'!$X$48</f>
        <v>0</v>
      </c>
      <c r="Y5" s="20">
        <f>SUM($X$5:$X$5)</f>
        <v>0</v>
      </c>
      <c r="Z5" s="20">
        <f>'TE BE'!$Z$5*'TE BF'!$Z$48</f>
        <v>0</v>
      </c>
      <c r="AA5" s="20">
        <f>SUM($Z$5:$Z$5)</f>
        <v>0</v>
      </c>
      <c r="AB5" s="20">
        <f>SUMIF($L$4:$AA$4,"SUBTOTAL",$L$5:$AA$5)</f>
        <v>0</v>
      </c>
    </row>
    <row r="6" spans="1:28" ht="11.25" customHeight="1" x14ac:dyDescent="0.3">
      <c r="A6" s="102"/>
      <c r="B6" s="102"/>
      <c r="C6" s="102"/>
      <c r="D6" s="102"/>
      <c r="E6" s="102"/>
      <c r="F6" s="102"/>
      <c r="G6" s="23" t="s">
        <v>70</v>
      </c>
      <c r="H6" s="23" t="s">
        <v>68</v>
      </c>
      <c r="I6" s="23">
        <f>'MERCADO TE'!$U$3</f>
        <v>10340.044</v>
      </c>
      <c r="J6" s="15"/>
      <c r="L6" s="20">
        <f>'TE BE'!$L$6*'TE BF'!$L$48</f>
        <v>0</v>
      </c>
      <c r="M6" s="20">
        <f>'TE BE'!$M$6*'TE BF'!$M$48</f>
        <v>0</v>
      </c>
      <c r="N6" s="20">
        <f>'TE BE'!$N$6*'TE BF'!$N$48</f>
        <v>0</v>
      </c>
      <c r="O6" s="20">
        <f>'TE BE'!$O$6*'TE BF'!$O$48</f>
        <v>0</v>
      </c>
      <c r="P6" s="20">
        <f>'TE BE'!$P$6*'TE BF'!$P$48</f>
        <v>0</v>
      </c>
      <c r="Q6" s="20">
        <f>SUM($L$6:$P$6)</f>
        <v>0</v>
      </c>
      <c r="R6" s="20">
        <f>'TE BE'!$R$6*'TE BF'!$R$48</f>
        <v>0</v>
      </c>
      <c r="S6" s="20">
        <f>SUM($R$6:$R$6)</f>
        <v>0</v>
      </c>
      <c r="T6" s="20">
        <f>'TE BE'!$T$6*'TE BF'!$T$48</f>
        <v>0</v>
      </c>
      <c r="U6" s="20">
        <f>'TE BE'!$U$6*'TE BF'!$U$48</f>
        <v>0</v>
      </c>
      <c r="V6" s="20">
        <f>'TE BE'!$V$6*'TE BF'!$V$48</f>
        <v>0</v>
      </c>
      <c r="W6" s="20">
        <f>SUM($T$6:$V$6)</f>
        <v>0</v>
      </c>
      <c r="X6" s="20">
        <f>'TE BE'!$AB$6*'TE BF'!$X$48</f>
        <v>0</v>
      </c>
      <c r="Y6" s="20">
        <f>SUM($X$6:$X$6)</f>
        <v>0</v>
      </c>
      <c r="Z6" s="20">
        <f>'TE BE'!$Z$6*'TE BF'!$Z$48</f>
        <v>0</v>
      </c>
      <c r="AA6" s="20">
        <f>SUM($Z$6:$Z$6)</f>
        <v>0</v>
      </c>
      <c r="AB6" s="20">
        <f>SUMIF($L$4:$AA$4,"SUBTOTAL",$L$6:$AA$6)</f>
        <v>0</v>
      </c>
    </row>
    <row r="7" spans="1:28" ht="11.25" customHeight="1" x14ac:dyDescent="0.3">
      <c r="A7" s="102" t="s">
        <v>22</v>
      </c>
      <c r="B7" s="102" t="s">
        <v>67</v>
      </c>
      <c r="C7" s="102" t="s">
        <v>24</v>
      </c>
      <c r="D7" s="102" t="s">
        <v>24</v>
      </c>
      <c r="E7" s="102" t="s">
        <v>25</v>
      </c>
      <c r="F7" s="102" t="s">
        <v>25</v>
      </c>
      <c r="G7" s="23" t="s">
        <v>69</v>
      </c>
      <c r="H7" s="23" t="s">
        <v>68</v>
      </c>
      <c r="I7" s="23">
        <f>'MERCADO TE'!$U$4</f>
        <v>0</v>
      </c>
      <c r="J7" s="15"/>
      <c r="L7" s="20">
        <f>'TE BE'!$L$7*'TE BF'!$L$48</f>
        <v>0</v>
      </c>
      <c r="M7" s="20">
        <f>'TE BE'!$M$7*'TE BF'!$M$48</f>
        <v>0</v>
      </c>
      <c r="N7" s="20">
        <f>'TE BE'!$N$7*'TE BF'!$N$48</f>
        <v>0</v>
      </c>
      <c r="O7" s="20">
        <f>'TE BE'!$O$7*'TE BF'!$O$48</f>
        <v>0</v>
      </c>
      <c r="P7" s="20">
        <f>'TE BE'!$P$7*'TE BF'!$P$48</f>
        <v>0</v>
      </c>
      <c r="Q7" s="20">
        <f>SUM($L$7:$P$7)</f>
        <v>0</v>
      </c>
      <c r="R7" s="20">
        <f>'TE BE'!$R$7*'TE BF'!$R$48</f>
        <v>0</v>
      </c>
      <c r="S7" s="20">
        <f>SUM($R$7:$R$7)</f>
        <v>0</v>
      </c>
      <c r="T7" s="20">
        <f>'TE BE'!$T$7*'TE BF'!$T$48</f>
        <v>0</v>
      </c>
      <c r="U7" s="20">
        <f>'TE BE'!$U$7*'TE BF'!$U$48</f>
        <v>0</v>
      </c>
      <c r="V7" s="20">
        <f>'TE BE'!$V$7*'TE BF'!$V$48</f>
        <v>0</v>
      </c>
      <c r="W7" s="20">
        <f>SUM($T$7:$V$7)</f>
        <v>0</v>
      </c>
      <c r="X7" s="20">
        <f>'TE BE'!$AB$7*'TE BF'!$X$48</f>
        <v>0</v>
      </c>
      <c r="Y7" s="20">
        <f>SUM($X$7:$X$7)</f>
        <v>0</v>
      </c>
      <c r="Z7" s="20">
        <f>'TE BE'!$Z$7*'TE BF'!$Z$48</f>
        <v>0</v>
      </c>
      <c r="AA7" s="20">
        <f>SUM($Z$7:$Z$7)</f>
        <v>0</v>
      </c>
      <c r="AB7" s="20">
        <f>SUMIF($L$4:$AA$4,"SUBTOTAL",$L$7:$AA$7)</f>
        <v>0</v>
      </c>
    </row>
    <row r="8" spans="1:28" ht="11.25" customHeight="1" x14ac:dyDescent="0.3">
      <c r="A8" s="102"/>
      <c r="B8" s="102"/>
      <c r="C8" s="102"/>
      <c r="D8" s="102"/>
      <c r="E8" s="102"/>
      <c r="F8" s="102"/>
      <c r="G8" s="23" t="s">
        <v>80</v>
      </c>
      <c r="H8" s="23" t="s">
        <v>68</v>
      </c>
      <c r="I8" s="23">
        <f>'MERCADO TE'!$U$5</f>
        <v>0</v>
      </c>
      <c r="J8" s="15"/>
      <c r="L8" s="20">
        <f>'TE BE'!$L$8*'TE BF'!$L$48</f>
        <v>0</v>
      </c>
      <c r="M8" s="20">
        <f>'TE BE'!$M$8*'TE BF'!$M$48</f>
        <v>0</v>
      </c>
      <c r="N8" s="20">
        <f>'TE BE'!$N$8*'TE BF'!$N$48</f>
        <v>0</v>
      </c>
      <c r="O8" s="20">
        <f>'TE BE'!$O$8*'TE BF'!$O$48</f>
        <v>0</v>
      </c>
      <c r="P8" s="20">
        <f>'TE BE'!$P$8*'TE BF'!$P$48</f>
        <v>0</v>
      </c>
      <c r="Q8" s="20">
        <f>SUM($L$8:$P$8)</f>
        <v>0</v>
      </c>
      <c r="R8" s="20">
        <f>'TE BE'!$R$8*'TE BF'!$R$48</f>
        <v>0</v>
      </c>
      <c r="S8" s="20">
        <f>SUM($R$8:$R$8)</f>
        <v>0</v>
      </c>
      <c r="T8" s="20">
        <f>'TE BE'!$T$8*'TE BF'!$T$48</f>
        <v>0</v>
      </c>
      <c r="U8" s="20">
        <f>'TE BE'!$U$8*'TE BF'!$U$48</f>
        <v>0</v>
      </c>
      <c r="V8" s="20">
        <f>'TE BE'!$V$8*'TE BF'!$V$48</f>
        <v>0</v>
      </c>
      <c r="W8" s="20">
        <f>SUM($T$8:$V$8)</f>
        <v>0</v>
      </c>
      <c r="X8" s="20">
        <f>'TE BE'!$AB$8*'TE BF'!$X$48</f>
        <v>0</v>
      </c>
      <c r="Y8" s="20">
        <f>SUM($X$8:$X$8)</f>
        <v>0</v>
      </c>
      <c r="Z8" s="20">
        <f>'TE BE'!$Z$8*'TE BF'!$Z$48</f>
        <v>0</v>
      </c>
      <c r="AA8" s="20">
        <f>SUM($Z$8:$Z$8)</f>
        <v>0</v>
      </c>
      <c r="AB8" s="20">
        <f>SUMIF($L$4:$AA$4,"SUBTOTAL",$L$8:$AA$8)</f>
        <v>0</v>
      </c>
    </row>
    <row r="9" spans="1:28" ht="11.25" customHeight="1" x14ac:dyDescent="0.3">
      <c r="A9" s="102"/>
      <c r="B9" s="102"/>
      <c r="C9" s="102"/>
      <c r="D9" s="102"/>
      <c r="E9" s="102"/>
      <c r="F9" s="102"/>
      <c r="G9" s="23" t="s">
        <v>70</v>
      </c>
      <c r="H9" s="23" t="s">
        <v>68</v>
      </c>
      <c r="I9" s="23">
        <f>'MERCADO TE'!$U$6</f>
        <v>0</v>
      </c>
      <c r="J9" s="15"/>
      <c r="L9" s="20">
        <f>'TE BE'!$L$9*'TE BF'!$L$48</f>
        <v>0</v>
      </c>
      <c r="M9" s="20">
        <f>'TE BE'!$M$9*'TE BF'!$M$48</f>
        <v>0</v>
      </c>
      <c r="N9" s="20">
        <f>'TE BE'!$N$9*'TE BF'!$N$48</f>
        <v>0</v>
      </c>
      <c r="O9" s="20">
        <f>'TE BE'!$O$9*'TE BF'!$O$48</f>
        <v>0</v>
      </c>
      <c r="P9" s="20">
        <f>'TE BE'!$P$9*'TE BF'!$P$48</f>
        <v>0</v>
      </c>
      <c r="Q9" s="20">
        <f>SUM($L$9:$P$9)</f>
        <v>0</v>
      </c>
      <c r="R9" s="20">
        <f>'TE BE'!$R$9*'TE BF'!$R$48</f>
        <v>0</v>
      </c>
      <c r="S9" s="20">
        <f>SUM($R$9:$R$9)</f>
        <v>0</v>
      </c>
      <c r="T9" s="20">
        <f>'TE BE'!$T$9*'TE BF'!$T$48</f>
        <v>0</v>
      </c>
      <c r="U9" s="20">
        <f>'TE BE'!$U$9*'TE BF'!$U$48</f>
        <v>0</v>
      </c>
      <c r="V9" s="20">
        <f>'TE BE'!$V$9*'TE BF'!$V$48</f>
        <v>0</v>
      </c>
      <c r="W9" s="20">
        <f>SUM($T$9:$V$9)</f>
        <v>0</v>
      </c>
      <c r="X9" s="20">
        <f>'TE BE'!$AB$9*'TE BF'!$X$48</f>
        <v>0</v>
      </c>
      <c r="Y9" s="20">
        <f>SUM($X$9:$X$9)</f>
        <v>0</v>
      </c>
      <c r="Z9" s="20">
        <f>'TE BE'!$Z$9*'TE BF'!$Z$48</f>
        <v>0</v>
      </c>
      <c r="AA9" s="20">
        <f>SUM($Z$9:$Z$9)</f>
        <v>0</v>
      </c>
      <c r="AB9" s="20">
        <f>SUMIF($L$4:$AA$4,"SUBTOTAL",$L$9:$AA$9)</f>
        <v>0</v>
      </c>
    </row>
    <row r="10" spans="1:28" ht="11.25" customHeight="1" x14ac:dyDescent="0.3">
      <c r="A10" s="102"/>
      <c r="B10" s="102" t="s">
        <v>81</v>
      </c>
      <c r="C10" s="102" t="s">
        <v>24</v>
      </c>
      <c r="D10" s="22" t="s">
        <v>24</v>
      </c>
      <c r="E10" s="22" t="s">
        <v>25</v>
      </c>
      <c r="F10" s="22" t="s">
        <v>25</v>
      </c>
      <c r="G10" s="23" t="s">
        <v>74</v>
      </c>
      <c r="H10" s="23" t="s">
        <v>68</v>
      </c>
      <c r="I10" s="23">
        <f>'MERCADO TE'!$U$7</f>
        <v>434.28799999999995</v>
      </c>
      <c r="J10" s="15"/>
      <c r="L10" s="20">
        <f>'TE BE'!$L$10*'TE BF'!$L$48</f>
        <v>0</v>
      </c>
      <c r="M10" s="20">
        <f>'TE BE'!$M$10*'TE BF'!$M$48</f>
        <v>0</v>
      </c>
      <c r="N10" s="20">
        <f>'TE BE'!$N$10*'TE BF'!$N$48</f>
        <v>0</v>
      </c>
      <c r="O10" s="20">
        <f>'TE BE'!$O$10*'TE BF'!$O$48</f>
        <v>0</v>
      </c>
      <c r="P10" s="20">
        <f>'TE BE'!$P$10*'TE BF'!$P$48</f>
        <v>0</v>
      </c>
      <c r="Q10" s="20">
        <f>SUM($L$10:$P$10)</f>
        <v>0</v>
      </c>
      <c r="R10" s="20">
        <f>'TE BE'!$R$10*'TE BF'!$R$48</f>
        <v>0</v>
      </c>
      <c r="S10" s="20">
        <f>SUM($R$10:$R$10)</f>
        <v>0</v>
      </c>
      <c r="T10" s="20">
        <f>'TE BE'!$T$10*'TE BF'!$T$48</f>
        <v>0</v>
      </c>
      <c r="U10" s="20">
        <f>'TE BE'!$U$10*'TE BF'!$U$48</f>
        <v>0</v>
      </c>
      <c r="V10" s="20">
        <f>'TE BE'!$V$10*'TE BF'!$V$48</f>
        <v>0</v>
      </c>
      <c r="W10" s="20">
        <f>SUM($T$10:$V$10)</f>
        <v>0</v>
      </c>
      <c r="X10" s="20">
        <f>'TE BE'!$AB$10*'TE BF'!$X$48</f>
        <v>0</v>
      </c>
      <c r="Y10" s="20">
        <f>SUM($X$10:$X$10)</f>
        <v>0</v>
      </c>
      <c r="Z10" s="20">
        <f>'TE BE'!$Z$10*'TE BF'!$Z$48</f>
        <v>0</v>
      </c>
      <c r="AA10" s="20">
        <f>SUM($Z$10:$Z$10)</f>
        <v>0</v>
      </c>
      <c r="AB10" s="20">
        <f>SUMIF($L$4:$AA$4,"SUBTOTAL",$L$10:$AA$10)</f>
        <v>0</v>
      </c>
    </row>
    <row r="11" spans="1:28" ht="11.25" customHeight="1" x14ac:dyDescent="0.3">
      <c r="A11" s="102"/>
      <c r="B11" s="102"/>
      <c r="C11" s="102"/>
      <c r="D11" s="22" t="s">
        <v>27</v>
      </c>
      <c r="E11" s="22" t="s">
        <v>25</v>
      </c>
      <c r="F11" s="22" t="s">
        <v>25</v>
      </c>
      <c r="G11" s="23" t="s">
        <v>74</v>
      </c>
      <c r="H11" s="23" t="s">
        <v>68</v>
      </c>
      <c r="I11" s="23">
        <f>'MERCADO TE'!$U$8</f>
        <v>2.37</v>
      </c>
      <c r="J11" s="15"/>
      <c r="L11" s="20">
        <f>'TE BE'!$L$11*'TE BF'!$L$48</f>
        <v>0</v>
      </c>
      <c r="M11" s="20">
        <f>'TE BE'!$M$11*'TE BF'!$M$48</f>
        <v>0</v>
      </c>
      <c r="N11" s="20">
        <f>'TE BE'!$N$11*'TE BF'!$N$48</f>
        <v>0</v>
      </c>
      <c r="O11" s="20">
        <f>'TE BE'!$O$11*'TE BF'!$O$48</f>
        <v>0</v>
      </c>
      <c r="P11" s="20">
        <f>'TE BE'!$P$11*'TE BF'!$P$48</f>
        <v>0</v>
      </c>
      <c r="Q11" s="20">
        <f>SUM($L$11:$P$11)</f>
        <v>0</v>
      </c>
      <c r="R11" s="20">
        <f>'TE BE'!$R$11*'TE BF'!$R$48</f>
        <v>0</v>
      </c>
      <c r="S11" s="20">
        <f>SUM($R$11:$R$11)</f>
        <v>0</v>
      </c>
      <c r="T11" s="20">
        <f>'TE BE'!$T$11*'TE BF'!$T$48</f>
        <v>0</v>
      </c>
      <c r="U11" s="20">
        <f>'TE BE'!$U$11*'TE BF'!$U$48</f>
        <v>0</v>
      </c>
      <c r="V11" s="20">
        <f>'TE BE'!$V$11*'TE BF'!$V$48</f>
        <v>0</v>
      </c>
      <c r="W11" s="20">
        <f>SUM($T$11:$V$11)</f>
        <v>0</v>
      </c>
      <c r="X11" s="20">
        <f>'TE BE'!$AB$11*'TE BF'!$X$48</f>
        <v>0</v>
      </c>
      <c r="Y11" s="20">
        <f>SUM($X$11:$X$11)</f>
        <v>0</v>
      </c>
      <c r="Z11" s="20">
        <f>'TE BE'!$Z$11*'TE BF'!$Z$48</f>
        <v>0</v>
      </c>
      <c r="AA11" s="20">
        <f>SUM($Z$11:$Z$11)</f>
        <v>0</v>
      </c>
      <c r="AB11" s="20">
        <f>SUMIF($L$4:$AA$4,"SUBTOTAL",$L$11:$AA$11)</f>
        <v>0</v>
      </c>
    </row>
    <row r="12" spans="1:28" ht="11.25" customHeight="1" x14ac:dyDescent="0.3">
      <c r="A12" s="102"/>
      <c r="B12" s="102"/>
      <c r="C12" s="102"/>
      <c r="D12" s="22" t="s">
        <v>28</v>
      </c>
      <c r="E12" s="22" t="s">
        <v>25</v>
      </c>
      <c r="F12" s="22" t="s">
        <v>25</v>
      </c>
      <c r="G12" s="23" t="s">
        <v>74</v>
      </c>
      <c r="H12" s="23" t="s">
        <v>68</v>
      </c>
      <c r="I12" s="23">
        <f>'MERCADO TE'!$U$9</f>
        <v>4.327</v>
      </c>
      <c r="J12" s="15"/>
      <c r="L12" s="20">
        <f>'TE BE'!$L$12*'TE BF'!$L$48</f>
        <v>0</v>
      </c>
      <c r="M12" s="20">
        <f>'TE BE'!$M$12*'TE BF'!$M$48</f>
        <v>0</v>
      </c>
      <c r="N12" s="20">
        <f>'TE BE'!$N$12*'TE BF'!$N$48</f>
        <v>0</v>
      </c>
      <c r="O12" s="20">
        <f>'TE BE'!$O$12*'TE BF'!$O$48</f>
        <v>0</v>
      </c>
      <c r="P12" s="20">
        <f>'TE BE'!$P$12*'TE BF'!$P$48</f>
        <v>0</v>
      </c>
      <c r="Q12" s="20">
        <f>SUM($L$12:$P$12)</f>
        <v>0</v>
      </c>
      <c r="R12" s="20">
        <f>'TE BE'!$R$12*'TE BF'!$R$48</f>
        <v>0</v>
      </c>
      <c r="S12" s="20">
        <f>SUM($R$12:$R$12)</f>
        <v>0</v>
      </c>
      <c r="T12" s="20">
        <f>'TE BE'!$T$12*'TE BF'!$T$48</f>
        <v>0</v>
      </c>
      <c r="U12" s="20">
        <f>'TE BE'!$U$12*'TE BF'!$U$48</f>
        <v>0</v>
      </c>
      <c r="V12" s="20">
        <f>'TE BE'!$V$12*'TE BF'!$V$48</f>
        <v>0</v>
      </c>
      <c r="W12" s="20">
        <f>SUM($T$12:$V$12)</f>
        <v>0</v>
      </c>
      <c r="X12" s="20">
        <f>'TE BE'!$AB$12*'TE BF'!$X$48</f>
        <v>0</v>
      </c>
      <c r="Y12" s="20">
        <f>SUM($X$12:$X$12)</f>
        <v>0</v>
      </c>
      <c r="Z12" s="20">
        <f>'TE BE'!$Z$12*'TE BF'!$Z$48</f>
        <v>0</v>
      </c>
      <c r="AA12" s="20">
        <f>SUM($Z$12:$Z$12)</f>
        <v>0</v>
      </c>
      <c r="AB12" s="20">
        <f>SUMIF($L$4:$AA$4,"SUBTOTAL",$L$12:$AA$12)</f>
        <v>0</v>
      </c>
    </row>
    <row r="13" spans="1:28" ht="11.25" customHeight="1" x14ac:dyDescent="0.3">
      <c r="A13" s="102"/>
      <c r="B13" s="102"/>
      <c r="C13" s="102"/>
      <c r="D13" s="22" t="s">
        <v>29</v>
      </c>
      <c r="E13" s="22" t="s">
        <v>25</v>
      </c>
      <c r="F13" s="22" t="s">
        <v>25</v>
      </c>
      <c r="G13" s="23" t="s">
        <v>74</v>
      </c>
      <c r="H13" s="23" t="s">
        <v>68</v>
      </c>
      <c r="I13" s="23">
        <f>'MERCADO TE'!$U$10</f>
        <v>5.7929999999999993</v>
      </c>
      <c r="J13" s="15"/>
      <c r="L13" s="20">
        <f>'TE BE'!$L$13*'TE BF'!$L$48</f>
        <v>0</v>
      </c>
      <c r="M13" s="20">
        <f>'TE BE'!$M$13*'TE BF'!$M$48</f>
        <v>0</v>
      </c>
      <c r="N13" s="20">
        <f>'TE BE'!$N$13*'TE BF'!$N$48</f>
        <v>0</v>
      </c>
      <c r="O13" s="20">
        <f>'TE BE'!$O$13*'TE BF'!$O$48</f>
        <v>0</v>
      </c>
      <c r="P13" s="20">
        <f>'TE BE'!$P$13*'TE BF'!$P$48</f>
        <v>0</v>
      </c>
      <c r="Q13" s="20">
        <f>SUM($L$13:$P$13)</f>
        <v>0</v>
      </c>
      <c r="R13" s="20">
        <f>'TE BE'!$R$13*'TE BF'!$R$48</f>
        <v>0</v>
      </c>
      <c r="S13" s="20">
        <f>SUM($R$13:$R$13)</f>
        <v>0</v>
      </c>
      <c r="T13" s="20">
        <f>'TE BE'!$T$13*'TE BF'!$T$48</f>
        <v>0</v>
      </c>
      <c r="U13" s="20">
        <f>'TE BE'!$U$13*'TE BF'!$U$48</f>
        <v>0</v>
      </c>
      <c r="V13" s="20">
        <f>'TE BE'!$V$13*'TE BF'!$V$48</f>
        <v>0</v>
      </c>
      <c r="W13" s="20">
        <f>SUM($T$13:$V$13)</f>
        <v>0</v>
      </c>
      <c r="X13" s="20">
        <f>'TE BE'!$AB$13*'TE BF'!$X$48</f>
        <v>0</v>
      </c>
      <c r="Y13" s="20">
        <f>SUM($X$13:$X$13)</f>
        <v>0</v>
      </c>
      <c r="Z13" s="20">
        <f>'TE BE'!$Z$13*'TE BF'!$Z$48</f>
        <v>0</v>
      </c>
      <c r="AA13" s="20">
        <f>SUM($Z$13:$Z$13)</f>
        <v>0</v>
      </c>
      <c r="AB13" s="20">
        <f>SUMIF($L$4:$AA$4,"SUBTOTAL",$L$13:$AA$13)</f>
        <v>0</v>
      </c>
    </row>
    <row r="14" spans="1:28" ht="11.25" customHeight="1" x14ac:dyDescent="0.3">
      <c r="A14" s="102"/>
      <c r="B14" s="102"/>
      <c r="C14" s="102"/>
      <c r="D14" s="22" t="s">
        <v>30</v>
      </c>
      <c r="E14" s="22" t="s">
        <v>25</v>
      </c>
      <c r="F14" s="22" t="s">
        <v>25</v>
      </c>
      <c r="G14" s="23" t="s">
        <v>74</v>
      </c>
      <c r="H14" s="23" t="s">
        <v>68</v>
      </c>
      <c r="I14" s="23">
        <f>'MERCADO TE'!$U$11</f>
        <v>2.0990000000000002</v>
      </c>
      <c r="J14" s="15"/>
      <c r="L14" s="20">
        <f>'TE BE'!$L$14*'TE BF'!$L$48</f>
        <v>0</v>
      </c>
      <c r="M14" s="20">
        <f>'TE BE'!$M$14*'TE BF'!$M$48</f>
        <v>0</v>
      </c>
      <c r="N14" s="20">
        <f>'TE BE'!$N$14*'TE BF'!$N$48</f>
        <v>0</v>
      </c>
      <c r="O14" s="20">
        <f>'TE BE'!$O$14*'TE BF'!$O$48</f>
        <v>0</v>
      </c>
      <c r="P14" s="20">
        <f>'TE BE'!$P$14*'TE BF'!$P$48</f>
        <v>0</v>
      </c>
      <c r="Q14" s="20">
        <f>SUM($L$14:$P$14)</f>
        <v>0</v>
      </c>
      <c r="R14" s="20">
        <f>'TE BE'!$R$14*'TE BF'!$R$48</f>
        <v>0</v>
      </c>
      <c r="S14" s="20">
        <f>SUM($R$14:$R$14)</f>
        <v>0</v>
      </c>
      <c r="T14" s="20">
        <f>'TE BE'!$T$14*'TE BF'!$T$48</f>
        <v>0</v>
      </c>
      <c r="U14" s="20">
        <f>'TE BE'!$U$14*'TE BF'!$U$48</f>
        <v>0</v>
      </c>
      <c r="V14" s="20">
        <f>'TE BE'!$V$14*'TE BF'!$V$48</f>
        <v>0</v>
      </c>
      <c r="W14" s="20">
        <f>SUM($T$14:$V$14)</f>
        <v>0</v>
      </c>
      <c r="X14" s="20">
        <f>'TE BE'!$AB$14*'TE BF'!$X$48</f>
        <v>0</v>
      </c>
      <c r="Y14" s="20">
        <f>SUM($X$14:$X$14)</f>
        <v>0</v>
      </c>
      <c r="Z14" s="20">
        <f>'TE BE'!$Z$14*'TE BF'!$Z$48</f>
        <v>0</v>
      </c>
      <c r="AA14" s="20">
        <f>SUM($Z$14:$Z$14)</f>
        <v>0</v>
      </c>
      <c r="AB14" s="20">
        <f>SUMIF($L$4:$AA$4,"SUBTOTAL",$L$14:$AA$14)</f>
        <v>0</v>
      </c>
    </row>
    <row r="15" spans="1:28" ht="11.25" customHeight="1" x14ac:dyDescent="0.3">
      <c r="A15" s="102"/>
      <c r="B15" s="102" t="s">
        <v>83</v>
      </c>
      <c r="C15" s="102" t="s">
        <v>24</v>
      </c>
      <c r="D15" s="22" t="s">
        <v>24</v>
      </c>
      <c r="E15" s="22" t="s">
        <v>25</v>
      </c>
      <c r="F15" s="22" t="s">
        <v>25</v>
      </c>
      <c r="G15" s="23" t="s">
        <v>74</v>
      </c>
      <c r="H15" s="23" t="s">
        <v>68</v>
      </c>
      <c r="I15" s="23">
        <f>'MERCADO TE'!$U$12</f>
        <v>0</v>
      </c>
      <c r="J15" s="15"/>
      <c r="L15" s="20">
        <f>'TE BE'!$L$15*'TE BF'!$L$48</f>
        <v>0</v>
      </c>
      <c r="M15" s="20">
        <f>'TE BE'!$M$15*'TE BF'!$M$48</f>
        <v>0</v>
      </c>
      <c r="N15" s="20">
        <f>'TE BE'!$N$15*'TE BF'!$N$48</f>
        <v>0</v>
      </c>
      <c r="O15" s="20">
        <f>'TE BE'!$O$15*'TE BF'!$O$48</f>
        <v>0</v>
      </c>
      <c r="P15" s="20">
        <f>'TE BE'!$P$15*'TE BF'!$P$48</f>
        <v>0</v>
      </c>
      <c r="Q15" s="20">
        <f>SUM($L$15:$P$15)</f>
        <v>0</v>
      </c>
      <c r="R15" s="20">
        <f>'TE BE'!$R$15*'TE BF'!$R$48</f>
        <v>0</v>
      </c>
      <c r="S15" s="20">
        <f>SUM($R$15:$R$15)</f>
        <v>0</v>
      </c>
      <c r="T15" s="20">
        <f>'TE BE'!$T$15*'TE BF'!$T$48</f>
        <v>0</v>
      </c>
      <c r="U15" s="20">
        <f>'TE BE'!$U$15*'TE BF'!$U$48</f>
        <v>0</v>
      </c>
      <c r="V15" s="20">
        <f>'TE BE'!$V$15*'TE BF'!$V$48</f>
        <v>0</v>
      </c>
      <c r="W15" s="20">
        <f>SUM($T$15:$V$15)</f>
        <v>0</v>
      </c>
      <c r="X15" s="20">
        <f>'TE BE'!$AB$15*'TE BF'!$X$48</f>
        <v>0</v>
      </c>
      <c r="Y15" s="20">
        <f>SUM($X$15:$X$15)</f>
        <v>0</v>
      </c>
      <c r="Z15" s="20">
        <f>'TE BE'!$Z$15*'TE BF'!$Z$48</f>
        <v>0</v>
      </c>
      <c r="AA15" s="20">
        <f>SUM($Z$15:$Z$15)</f>
        <v>0</v>
      </c>
      <c r="AB15" s="20">
        <f>SUMIF($L$4:$AA$4,"SUBTOTAL",$L$15:$AA$15)</f>
        <v>0</v>
      </c>
    </row>
    <row r="16" spans="1:28" ht="11.25" customHeight="1" x14ac:dyDescent="0.3">
      <c r="A16" s="102"/>
      <c r="B16" s="102"/>
      <c r="C16" s="102"/>
      <c r="D16" s="22" t="s">
        <v>27</v>
      </c>
      <c r="E16" s="22" t="s">
        <v>25</v>
      </c>
      <c r="F16" s="22" t="s">
        <v>25</v>
      </c>
      <c r="G16" s="23" t="s">
        <v>74</v>
      </c>
      <c r="H16" s="23" t="s">
        <v>68</v>
      </c>
      <c r="I16" s="23">
        <f>'MERCADO TE'!$U$13</f>
        <v>0</v>
      </c>
      <c r="J16" s="15"/>
      <c r="L16" s="20">
        <f>'TE BE'!$L$16*'TE BF'!$L$48</f>
        <v>0</v>
      </c>
      <c r="M16" s="20">
        <f>'TE BE'!$M$16*'TE BF'!$M$48</f>
        <v>0</v>
      </c>
      <c r="N16" s="20">
        <f>'TE BE'!$N$16*'TE BF'!$N$48</f>
        <v>0</v>
      </c>
      <c r="O16" s="20">
        <f>'TE BE'!$O$16*'TE BF'!$O$48</f>
        <v>0</v>
      </c>
      <c r="P16" s="20">
        <f>'TE BE'!$P$16*'TE BF'!$P$48</f>
        <v>0</v>
      </c>
      <c r="Q16" s="20">
        <f>SUM($L$16:$P$16)</f>
        <v>0</v>
      </c>
      <c r="R16" s="20">
        <f>'TE BE'!$R$16*'TE BF'!$R$48</f>
        <v>0</v>
      </c>
      <c r="S16" s="20">
        <f>SUM($R$16:$R$16)</f>
        <v>0</v>
      </c>
      <c r="T16" s="20">
        <f>'TE BE'!$T$16*'TE BF'!$T$48</f>
        <v>0</v>
      </c>
      <c r="U16" s="20">
        <f>'TE BE'!$U$16*'TE BF'!$U$48</f>
        <v>0</v>
      </c>
      <c r="V16" s="20">
        <f>'TE BE'!$V$16*'TE BF'!$V$48</f>
        <v>0</v>
      </c>
      <c r="W16" s="20">
        <f>SUM($T$16:$V$16)</f>
        <v>0</v>
      </c>
      <c r="X16" s="20">
        <f>'TE BE'!$AB$16*'TE BF'!$X$48</f>
        <v>0</v>
      </c>
      <c r="Y16" s="20">
        <f>SUM($X$16:$X$16)</f>
        <v>0</v>
      </c>
      <c r="Z16" s="20">
        <f>'TE BE'!$Z$16*'TE BF'!$Z$48</f>
        <v>0</v>
      </c>
      <c r="AA16" s="20">
        <f>SUM($Z$16:$Z$16)</f>
        <v>0</v>
      </c>
      <c r="AB16" s="20">
        <f>SUMIF($L$4:$AA$4,"SUBTOTAL",$L$16:$AA$16)</f>
        <v>0</v>
      </c>
    </row>
    <row r="17" spans="1:28" ht="11.25" customHeight="1" x14ac:dyDescent="0.3">
      <c r="A17" s="102"/>
      <c r="B17" s="102"/>
      <c r="C17" s="102"/>
      <c r="D17" s="22" t="s">
        <v>28</v>
      </c>
      <c r="E17" s="22" t="s">
        <v>25</v>
      </c>
      <c r="F17" s="22" t="s">
        <v>25</v>
      </c>
      <c r="G17" s="23" t="s">
        <v>74</v>
      </c>
      <c r="H17" s="23" t="s">
        <v>68</v>
      </c>
      <c r="I17" s="23">
        <f>'MERCADO TE'!$U$14</f>
        <v>0</v>
      </c>
      <c r="J17" s="15"/>
      <c r="L17" s="20">
        <f>'TE BE'!$L$17*'TE BF'!$L$48</f>
        <v>0</v>
      </c>
      <c r="M17" s="20">
        <f>'TE BE'!$M$17*'TE BF'!$M$48</f>
        <v>0</v>
      </c>
      <c r="N17" s="20">
        <f>'TE BE'!$N$17*'TE BF'!$N$48</f>
        <v>0</v>
      </c>
      <c r="O17" s="20">
        <f>'TE BE'!$O$17*'TE BF'!$O$48</f>
        <v>0</v>
      </c>
      <c r="P17" s="20">
        <f>'TE BE'!$P$17*'TE BF'!$P$48</f>
        <v>0</v>
      </c>
      <c r="Q17" s="20">
        <f>SUM($L$17:$P$17)</f>
        <v>0</v>
      </c>
      <c r="R17" s="20">
        <f>'TE BE'!$R$17*'TE BF'!$R$48</f>
        <v>0</v>
      </c>
      <c r="S17" s="20">
        <f>SUM($R$17:$R$17)</f>
        <v>0</v>
      </c>
      <c r="T17" s="20">
        <f>'TE BE'!$T$17*'TE BF'!$T$48</f>
        <v>0</v>
      </c>
      <c r="U17" s="20">
        <f>'TE BE'!$U$17*'TE BF'!$U$48</f>
        <v>0</v>
      </c>
      <c r="V17" s="20">
        <f>'TE BE'!$V$17*'TE BF'!$V$48</f>
        <v>0</v>
      </c>
      <c r="W17" s="20">
        <f>SUM($T$17:$V$17)</f>
        <v>0</v>
      </c>
      <c r="X17" s="20">
        <f>'TE BE'!$AB$17*'TE BF'!$X$48</f>
        <v>0</v>
      </c>
      <c r="Y17" s="20">
        <f>SUM($X$17:$X$17)</f>
        <v>0</v>
      </c>
      <c r="Z17" s="20">
        <f>'TE BE'!$Z$17*'TE BF'!$Z$48</f>
        <v>0</v>
      </c>
      <c r="AA17" s="20">
        <f>SUM($Z$17:$Z$17)</f>
        <v>0</v>
      </c>
      <c r="AB17" s="20">
        <f>SUMIF($L$4:$AA$4,"SUBTOTAL",$L$17:$AA$17)</f>
        <v>0</v>
      </c>
    </row>
    <row r="18" spans="1:28" ht="11.25" customHeight="1" x14ac:dyDescent="0.3">
      <c r="A18" s="102"/>
      <c r="B18" s="102"/>
      <c r="C18" s="102"/>
      <c r="D18" s="22" t="s">
        <v>29</v>
      </c>
      <c r="E18" s="22" t="s">
        <v>25</v>
      </c>
      <c r="F18" s="22" t="s">
        <v>25</v>
      </c>
      <c r="G18" s="23" t="s">
        <v>74</v>
      </c>
      <c r="H18" s="23" t="s">
        <v>68</v>
      </c>
      <c r="I18" s="23">
        <f>'MERCADO TE'!$U$15</f>
        <v>0</v>
      </c>
      <c r="J18" s="15"/>
      <c r="L18" s="20">
        <f>'TE BE'!$L$18*'TE BF'!$L$48</f>
        <v>0</v>
      </c>
      <c r="M18" s="20">
        <f>'TE BE'!$M$18*'TE BF'!$M$48</f>
        <v>0</v>
      </c>
      <c r="N18" s="20">
        <f>'TE BE'!$N$18*'TE BF'!$N$48</f>
        <v>0</v>
      </c>
      <c r="O18" s="20">
        <f>'TE BE'!$O$18*'TE BF'!$O$48</f>
        <v>0</v>
      </c>
      <c r="P18" s="20">
        <f>'TE BE'!$P$18*'TE BF'!$P$48</f>
        <v>0</v>
      </c>
      <c r="Q18" s="20">
        <f>SUM($L$18:$P$18)</f>
        <v>0</v>
      </c>
      <c r="R18" s="20">
        <f>'TE BE'!$R$18*'TE BF'!$R$48</f>
        <v>0</v>
      </c>
      <c r="S18" s="20">
        <f>SUM($R$18:$R$18)</f>
        <v>0</v>
      </c>
      <c r="T18" s="20">
        <f>'TE BE'!$T$18*'TE BF'!$T$48</f>
        <v>0</v>
      </c>
      <c r="U18" s="20">
        <f>'TE BE'!$U$18*'TE BF'!$U$48</f>
        <v>0</v>
      </c>
      <c r="V18" s="20">
        <f>'TE BE'!$V$18*'TE BF'!$V$48</f>
        <v>0</v>
      </c>
      <c r="W18" s="20">
        <f>SUM($T$18:$V$18)</f>
        <v>0</v>
      </c>
      <c r="X18" s="20">
        <f>'TE BE'!$AB$18*'TE BF'!$X$48</f>
        <v>0</v>
      </c>
      <c r="Y18" s="20">
        <f>SUM($X$18:$X$18)</f>
        <v>0</v>
      </c>
      <c r="Z18" s="20">
        <f>'TE BE'!$Z$18*'TE BF'!$Z$48</f>
        <v>0</v>
      </c>
      <c r="AA18" s="20">
        <f>SUM($Z$18:$Z$18)</f>
        <v>0</v>
      </c>
      <c r="AB18" s="20">
        <f>SUMIF($L$4:$AA$4,"SUBTOTAL",$L$18:$AA$18)</f>
        <v>0</v>
      </c>
    </row>
    <row r="19" spans="1:28" ht="11.25" customHeight="1" x14ac:dyDescent="0.3">
      <c r="A19" s="102"/>
      <c r="B19" s="102"/>
      <c r="C19" s="102"/>
      <c r="D19" s="22" t="s">
        <v>30</v>
      </c>
      <c r="E19" s="22" t="s">
        <v>25</v>
      </c>
      <c r="F19" s="22" t="s">
        <v>25</v>
      </c>
      <c r="G19" s="23" t="s">
        <v>74</v>
      </c>
      <c r="H19" s="23" t="s">
        <v>68</v>
      </c>
      <c r="I19" s="23">
        <f>'MERCADO TE'!$U$16</f>
        <v>0</v>
      </c>
      <c r="J19" s="15"/>
      <c r="L19" s="20">
        <f>'TE BE'!$L$19*'TE BF'!$L$48</f>
        <v>0</v>
      </c>
      <c r="M19" s="20">
        <f>'TE BE'!$M$19*'TE BF'!$M$48</f>
        <v>0</v>
      </c>
      <c r="N19" s="20">
        <f>'TE BE'!$N$19*'TE BF'!$N$48</f>
        <v>0</v>
      </c>
      <c r="O19" s="20">
        <f>'TE BE'!$O$19*'TE BF'!$O$48</f>
        <v>0</v>
      </c>
      <c r="P19" s="20">
        <f>'TE BE'!$P$19*'TE BF'!$P$48</f>
        <v>0</v>
      </c>
      <c r="Q19" s="20">
        <f>SUM($L$19:$P$19)</f>
        <v>0</v>
      </c>
      <c r="R19" s="20">
        <f>'TE BE'!$R$19*'TE BF'!$R$48</f>
        <v>0</v>
      </c>
      <c r="S19" s="20">
        <f>SUM($R$19:$R$19)</f>
        <v>0</v>
      </c>
      <c r="T19" s="20">
        <f>'TE BE'!$T$19*'TE BF'!$T$48</f>
        <v>0</v>
      </c>
      <c r="U19" s="20">
        <f>'TE BE'!$U$19*'TE BF'!$U$48</f>
        <v>0</v>
      </c>
      <c r="V19" s="20">
        <f>'TE BE'!$V$19*'TE BF'!$V$48</f>
        <v>0</v>
      </c>
      <c r="W19" s="20">
        <f>SUM($T$19:$V$19)</f>
        <v>0</v>
      </c>
      <c r="X19" s="20">
        <f>'TE BE'!$AB$19*'TE BF'!$X$48</f>
        <v>0</v>
      </c>
      <c r="Y19" s="20">
        <f>SUM($X$19:$X$19)</f>
        <v>0</v>
      </c>
      <c r="Z19" s="20">
        <f>'TE BE'!$Z$19*'TE BF'!$Z$48</f>
        <v>0</v>
      </c>
      <c r="AA19" s="20">
        <f>SUM($Z$19:$Z$19)</f>
        <v>0</v>
      </c>
      <c r="AB19" s="20">
        <f>SUMIF($L$4:$AA$4,"SUBTOTAL",$L$19:$AA$19)</f>
        <v>0</v>
      </c>
    </row>
    <row r="20" spans="1:28" ht="11.25" customHeight="1" x14ac:dyDescent="0.3">
      <c r="A20" s="102" t="s">
        <v>39</v>
      </c>
      <c r="B20" s="102" t="s">
        <v>67</v>
      </c>
      <c r="C20" s="102" t="s">
        <v>40</v>
      </c>
      <c r="D20" s="102" t="s">
        <v>25</v>
      </c>
      <c r="E20" s="102" t="s">
        <v>25</v>
      </c>
      <c r="F20" s="102" t="s">
        <v>25</v>
      </c>
      <c r="G20" s="23" t="s">
        <v>69</v>
      </c>
      <c r="H20" s="23" t="s">
        <v>68</v>
      </c>
      <c r="I20" s="23">
        <f>'MERCADO TE'!$U$17</f>
        <v>0</v>
      </c>
      <c r="J20" s="15"/>
      <c r="L20" s="20">
        <f>'TE BE'!$L$20*'TE BF'!$L$48</f>
        <v>0</v>
      </c>
      <c r="M20" s="20">
        <f>'TE BE'!$M$20*'TE BF'!$M$48</f>
        <v>0</v>
      </c>
      <c r="N20" s="20">
        <f>'TE BE'!$N$20*'TE BF'!$N$48</f>
        <v>0</v>
      </c>
      <c r="O20" s="20">
        <f>'TE BE'!$O$20*'TE BF'!$O$48</f>
        <v>0</v>
      </c>
      <c r="P20" s="20">
        <f>'TE BE'!$P$20*'TE BF'!$P$48</f>
        <v>0</v>
      </c>
      <c r="Q20" s="20">
        <f>SUM($L$20:$P$20)</f>
        <v>0</v>
      </c>
      <c r="R20" s="20">
        <f>'TE BE'!$R$20*'TE BF'!$R$48</f>
        <v>0</v>
      </c>
      <c r="S20" s="20">
        <f>SUM($R$20:$R$20)</f>
        <v>0</v>
      </c>
      <c r="T20" s="20">
        <f>'TE BE'!$T$20*'TE BF'!$T$48</f>
        <v>0</v>
      </c>
      <c r="U20" s="20">
        <f>'TE BE'!$U$20*'TE BF'!$U$48</f>
        <v>0</v>
      </c>
      <c r="V20" s="20">
        <f>'TE BE'!$V$20*'TE BF'!$V$48</f>
        <v>0</v>
      </c>
      <c r="W20" s="20">
        <f>SUM($T$20:$V$20)</f>
        <v>0</v>
      </c>
      <c r="X20" s="20">
        <f>'TE BE'!$AB$20*'TE BF'!$X$48</f>
        <v>0</v>
      </c>
      <c r="Y20" s="20">
        <f>SUM($X$20:$X$20)</f>
        <v>0</v>
      </c>
      <c r="Z20" s="20">
        <f>'TE BE'!$Z$20*'TE BF'!$Z$48</f>
        <v>0</v>
      </c>
      <c r="AA20" s="20">
        <f>SUM($Z$20:$Z$20)</f>
        <v>0</v>
      </c>
      <c r="AB20" s="20">
        <f>SUMIF($L$4:$AA$4,"SUBTOTAL",$L$20:$AA$20)</f>
        <v>0</v>
      </c>
    </row>
    <row r="21" spans="1:28" ht="11.25" customHeight="1" x14ac:dyDescent="0.3">
      <c r="A21" s="102"/>
      <c r="B21" s="102"/>
      <c r="C21" s="102"/>
      <c r="D21" s="102"/>
      <c r="E21" s="102"/>
      <c r="F21" s="102"/>
      <c r="G21" s="23" t="s">
        <v>80</v>
      </c>
      <c r="H21" s="23" t="s">
        <v>68</v>
      </c>
      <c r="I21" s="23">
        <f>'MERCADO TE'!$U$18</f>
        <v>0</v>
      </c>
      <c r="J21" s="15"/>
      <c r="L21" s="20">
        <f>'TE BE'!$L$21*'TE BF'!$L$48</f>
        <v>0</v>
      </c>
      <c r="M21" s="20">
        <f>'TE BE'!$M$21*'TE BF'!$M$48</f>
        <v>0</v>
      </c>
      <c r="N21" s="20">
        <f>'TE BE'!$N$21*'TE BF'!$N$48</f>
        <v>0</v>
      </c>
      <c r="O21" s="20">
        <f>'TE BE'!$O$21*'TE BF'!$O$48</f>
        <v>0</v>
      </c>
      <c r="P21" s="20">
        <f>'TE BE'!$P$21*'TE BF'!$P$48</f>
        <v>0</v>
      </c>
      <c r="Q21" s="20">
        <f>SUM($L$21:$P$21)</f>
        <v>0</v>
      </c>
      <c r="R21" s="20">
        <f>'TE BE'!$R$21*'TE BF'!$R$48</f>
        <v>0</v>
      </c>
      <c r="S21" s="20">
        <f>SUM($R$21:$R$21)</f>
        <v>0</v>
      </c>
      <c r="T21" s="20">
        <f>'TE BE'!$T$21*'TE BF'!$T$48</f>
        <v>0</v>
      </c>
      <c r="U21" s="20">
        <f>'TE BE'!$U$21*'TE BF'!$U$48</f>
        <v>0</v>
      </c>
      <c r="V21" s="20">
        <f>'TE BE'!$V$21*'TE BF'!$V$48</f>
        <v>0</v>
      </c>
      <c r="W21" s="20">
        <f>SUM($T$21:$V$21)</f>
        <v>0</v>
      </c>
      <c r="X21" s="20">
        <f>'TE BE'!$AB$21*'TE BF'!$X$48</f>
        <v>0</v>
      </c>
      <c r="Y21" s="20">
        <f>SUM($X$21:$X$21)</f>
        <v>0</v>
      </c>
      <c r="Z21" s="20">
        <f>'TE BE'!$Z$21*'TE BF'!$Z$48</f>
        <v>0</v>
      </c>
      <c r="AA21" s="20">
        <f>SUM($Z$21:$Z$21)</f>
        <v>0</v>
      </c>
      <c r="AB21" s="20">
        <f>SUMIF($L$4:$AA$4,"SUBTOTAL",$L$21:$AA$21)</f>
        <v>0</v>
      </c>
    </row>
    <row r="22" spans="1:28" ht="11.25" customHeight="1" x14ac:dyDescent="0.3">
      <c r="A22" s="102"/>
      <c r="B22" s="102"/>
      <c r="C22" s="102"/>
      <c r="D22" s="102"/>
      <c r="E22" s="102"/>
      <c r="F22" s="102"/>
      <c r="G22" s="23" t="s">
        <v>70</v>
      </c>
      <c r="H22" s="23" t="s">
        <v>68</v>
      </c>
      <c r="I22" s="23">
        <f>'MERCADO TE'!$U$19</f>
        <v>0</v>
      </c>
      <c r="J22" s="15"/>
      <c r="L22" s="20">
        <f>'TE BE'!$L$22*'TE BF'!$L$48</f>
        <v>0</v>
      </c>
      <c r="M22" s="20">
        <f>'TE BE'!$M$22*'TE BF'!$M$48</f>
        <v>0</v>
      </c>
      <c r="N22" s="20">
        <f>'TE BE'!$N$22*'TE BF'!$N$48</f>
        <v>0</v>
      </c>
      <c r="O22" s="20">
        <f>'TE BE'!$O$22*'TE BF'!$O$48</f>
        <v>0</v>
      </c>
      <c r="P22" s="20">
        <f>'TE BE'!$P$22*'TE BF'!$P$48</f>
        <v>0</v>
      </c>
      <c r="Q22" s="20">
        <f>SUM($L$22:$P$22)</f>
        <v>0</v>
      </c>
      <c r="R22" s="20">
        <f>'TE BE'!$R$22*'TE BF'!$R$48</f>
        <v>0</v>
      </c>
      <c r="S22" s="20">
        <f>SUM($R$22:$R$22)</f>
        <v>0</v>
      </c>
      <c r="T22" s="20">
        <f>'TE BE'!$T$22*'TE BF'!$T$48</f>
        <v>0</v>
      </c>
      <c r="U22" s="20">
        <f>'TE BE'!$U$22*'TE BF'!$U$48</f>
        <v>0</v>
      </c>
      <c r="V22" s="20">
        <f>'TE BE'!$V$22*'TE BF'!$V$48</f>
        <v>0</v>
      </c>
      <c r="W22" s="20">
        <f>SUM($T$22:$V$22)</f>
        <v>0</v>
      </c>
      <c r="X22" s="20">
        <f>'TE BE'!$AB$22*'TE BF'!$X$48</f>
        <v>0</v>
      </c>
      <c r="Y22" s="20">
        <f>SUM($X$22:$X$22)</f>
        <v>0</v>
      </c>
      <c r="Z22" s="20">
        <f>'TE BE'!$Z$22*'TE BF'!$Z$48</f>
        <v>0</v>
      </c>
      <c r="AA22" s="20">
        <f>SUM($Z$22:$Z$22)</f>
        <v>0</v>
      </c>
      <c r="AB22" s="20">
        <f>SUMIF($L$4:$AA$4,"SUBTOTAL",$L$22:$AA$22)</f>
        <v>0</v>
      </c>
    </row>
    <row r="23" spans="1:28" ht="11.25" customHeight="1" x14ac:dyDescent="0.3">
      <c r="A23" s="102"/>
      <c r="B23" s="22" t="s">
        <v>81</v>
      </c>
      <c r="C23" s="22" t="s">
        <v>40</v>
      </c>
      <c r="D23" s="22" t="s">
        <v>25</v>
      </c>
      <c r="E23" s="22" t="s">
        <v>25</v>
      </c>
      <c r="F23" s="22" t="s">
        <v>25</v>
      </c>
      <c r="G23" s="23" t="s">
        <v>74</v>
      </c>
      <c r="H23" s="23" t="s">
        <v>68</v>
      </c>
      <c r="I23" s="23">
        <f>'MERCADO TE'!$U$20</f>
        <v>5733.0710000000008</v>
      </c>
      <c r="J23" s="15"/>
      <c r="L23" s="20">
        <f>'TE BE'!$L$23*'TE BF'!$L$48</f>
        <v>0</v>
      </c>
      <c r="M23" s="20">
        <f>'TE BE'!$M$23*'TE BF'!$M$48</f>
        <v>0</v>
      </c>
      <c r="N23" s="20">
        <f>'TE BE'!$N$23*'TE BF'!$N$48</f>
        <v>0</v>
      </c>
      <c r="O23" s="20">
        <f>'TE BE'!$O$23*'TE BF'!$O$48</f>
        <v>0</v>
      </c>
      <c r="P23" s="20">
        <f>'TE BE'!$P$23*'TE BF'!$P$48</f>
        <v>0</v>
      </c>
      <c r="Q23" s="20">
        <f>SUM($L$23:$P$23)</f>
        <v>0</v>
      </c>
      <c r="R23" s="20">
        <f>'TE BE'!$R$23*'TE BF'!$R$48</f>
        <v>0</v>
      </c>
      <c r="S23" s="20">
        <f>SUM($R$23:$R$23)</f>
        <v>0</v>
      </c>
      <c r="T23" s="20">
        <f>'TE BE'!$T$23*'TE BF'!$T$48</f>
        <v>0</v>
      </c>
      <c r="U23" s="20">
        <f>'TE BE'!$U$23*'TE BF'!$U$48</f>
        <v>0</v>
      </c>
      <c r="V23" s="20">
        <f>'TE BE'!$V$23*'TE BF'!$V$48</f>
        <v>0</v>
      </c>
      <c r="W23" s="20">
        <f>SUM($T$23:$V$23)</f>
        <v>0</v>
      </c>
      <c r="X23" s="20">
        <f>'TE BE'!$AB$23*'TE BF'!$X$48</f>
        <v>0</v>
      </c>
      <c r="Y23" s="20">
        <f>SUM($X$23:$X$23)</f>
        <v>0</v>
      </c>
      <c r="Z23" s="20">
        <f>'TE BE'!$Z$23*'TE BF'!$Z$48</f>
        <v>0</v>
      </c>
      <c r="AA23" s="20">
        <f>SUM($Z$23:$Z$23)</f>
        <v>0</v>
      </c>
      <c r="AB23" s="20">
        <f>SUMIF($L$4:$AA$4,"SUBTOTAL",$L$23:$AA$23)</f>
        <v>0</v>
      </c>
    </row>
    <row r="24" spans="1:28" ht="11.25" customHeight="1" x14ac:dyDescent="0.3">
      <c r="A24" s="102"/>
      <c r="B24" s="102" t="s">
        <v>67</v>
      </c>
      <c r="C24" s="102" t="s">
        <v>40</v>
      </c>
      <c r="D24" s="102" t="s">
        <v>85</v>
      </c>
      <c r="E24" s="102" t="s">
        <v>25</v>
      </c>
      <c r="F24" s="102" t="s">
        <v>25</v>
      </c>
      <c r="G24" s="23" t="s">
        <v>69</v>
      </c>
      <c r="H24" s="23" t="s">
        <v>68</v>
      </c>
      <c r="I24" s="23">
        <f>'MERCADO TE'!$U$21</f>
        <v>0</v>
      </c>
      <c r="J24" s="15"/>
      <c r="L24" s="20">
        <f>'TE BE'!$L$24*'TE BF'!$L$48</f>
        <v>0</v>
      </c>
      <c r="M24" s="20">
        <f>'TE BE'!$M$24*'TE BF'!$M$48</f>
        <v>0</v>
      </c>
      <c r="N24" s="20">
        <f>'TE BE'!$N$24*'TE BF'!$N$48</f>
        <v>0</v>
      </c>
      <c r="O24" s="20">
        <f>'TE BE'!$O$24*'TE BF'!$O$48</f>
        <v>0</v>
      </c>
      <c r="P24" s="20">
        <f>'TE BE'!$P$24*'TE BF'!$P$48</f>
        <v>0</v>
      </c>
      <c r="Q24" s="20">
        <f>SUM($L$24:$P$24)</f>
        <v>0</v>
      </c>
      <c r="R24" s="20">
        <f>'TE BE'!$R$24*'TE BF'!$R$48</f>
        <v>0</v>
      </c>
      <c r="S24" s="20">
        <f>SUM($R$24:$R$24)</f>
        <v>0</v>
      </c>
      <c r="T24" s="20">
        <f>'TE BE'!$T$24*'TE BF'!$T$48</f>
        <v>0</v>
      </c>
      <c r="U24" s="20">
        <f>'TE BE'!$U$24*'TE BF'!$U$48</f>
        <v>0</v>
      </c>
      <c r="V24" s="20">
        <f>'TE BE'!$V$24*'TE BF'!$V$48</f>
        <v>0</v>
      </c>
      <c r="W24" s="20">
        <f>SUM($T$24:$V$24)</f>
        <v>0</v>
      </c>
      <c r="X24" s="20">
        <f>'TE BE'!$AB$24*'TE BF'!$X$48</f>
        <v>0</v>
      </c>
      <c r="Y24" s="20">
        <f>SUM($X$24:$X$24)</f>
        <v>0</v>
      </c>
      <c r="Z24" s="20">
        <f>'TE BE'!$Z$24*'TE BF'!$Z$48</f>
        <v>0</v>
      </c>
      <c r="AA24" s="20">
        <f>SUM($Z$24:$Z$24)</f>
        <v>0</v>
      </c>
      <c r="AB24" s="20">
        <f>SUMIF($L$4:$AA$4,"SUBTOTAL",$L$24:$AA$24)</f>
        <v>0</v>
      </c>
    </row>
    <row r="25" spans="1:28" ht="11.25" customHeight="1" x14ac:dyDescent="0.3">
      <c r="A25" s="102"/>
      <c r="B25" s="102"/>
      <c r="C25" s="102"/>
      <c r="D25" s="102"/>
      <c r="E25" s="102"/>
      <c r="F25" s="102"/>
      <c r="G25" s="23" t="s">
        <v>80</v>
      </c>
      <c r="H25" s="23" t="s">
        <v>68</v>
      </c>
      <c r="I25" s="23">
        <f>'MERCADO TE'!$U$22</f>
        <v>0</v>
      </c>
      <c r="J25" s="15"/>
      <c r="L25" s="20">
        <f>'TE BE'!$L$25*'TE BF'!$L$48</f>
        <v>0</v>
      </c>
      <c r="M25" s="20">
        <f>'TE BE'!$M$25*'TE BF'!$M$48</f>
        <v>0</v>
      </c>
      <c r="N25" s="20">
        <f>'TE BE'!$N$25*'TE BF'!$N$48</f>
        <v>0</v>
      </c>
      <c r="O25" s="20">
        <f>'TE BE'!$O$25*'TE BF'!$O$48</f>
        <v>0</v>
      </c>
      <c r="P25" s="20">
        <f>'TE BE'!$P$25*'TE BF'!$P$48</f>
        <v>0</v>
      </c>
      <c r="Q25" s="20">
        <f>SUM($L$25:$P$25)</f>
        <v>0</v>
      </c>
      <c r="R25" s="20">
        <f>'TE BE'!$R$25*'TE BF'!$R$48</f>
        <v>0</v>
      </c>
      <c r="S25" s="20">
        <f>SUM($R$25:$R$25)</f>
        <v>0</v>
      </c>
      <c r="T25" s="20">
        <f>'TE BE'!$T$25*'TE BF'!$T$48</f>
        <v>0</v>
      </c>
      <c r="U25" s="20">
        <f>'TE BE'!$U$25*'TE BF'!$U$48</f>
        <v>0</v>
      </c>
      <c r="V25" s="20">
        <f>'TE BE'!$V$25*'TE BF'!$V$48</f>
        <v>0</v>
      </c>
      <c r="W25" s="20">
        <f>SUM($T$25:$V$25)</f>
        <v>0</v>
      </c>
      <c r="X25" s="20">
        <f>'TE BE'!$AB$25*'TE BF'!$X$48</f>
        <v>0</v>
      </c>
      <c r="Y25" s="20">
        <f>SUM($X$25:$X$25)</f>
        <v>0</v>
      </c>
      <c r="Z25" s="20">
        <f>'TE BE'!$Z$25*'TE BF'!$Z$48</f>
        <v>0</v>
      </c>
      <c r="AA25" s="20">
        <f>SUM($Z$25:$Z$25)</f>
        <v>0</v>
      </c>
      <c r="AB25" s="20">
        <f>SUMIF($L$4:$AA$4,"SUBTOTAL",$L$25:$AA$25)</f>
        <v>0</v>
      </c>
    </row>
    <row r="26" spans="1:28" ht="11.25" customHeight="1" x14ac:dyDescent="0.3">
      <c r="A26" s="102"/>
      <c r="B26" s="102"/>
      <c r="C26" s="102"/>
      <c r="D26" s="102"/>
      <c r="E26" s="102"/>
      <c r="F26" s="102"/>
      <c r="G26" s="23" t="s">
        <v>70</v>
      </c>
      <c r="H26" s="23" t="s">
        <v>68</v>
      </c>
      <c r="I26" s="23">
        <f>'MERCADO TE'!$U$23</f>
        <v>0</v>
      </c>
      <c r="J26" s="15"/>
      <c r="L26" s="20">
        <f>'TE BE'!$L$26*'TE BF'!$L$48</f>
        <v>0</v>
      </c>
      <c r="M26" s="20">
        <f>'TE BE'!$M$26*'TE BF'!$M$48</f>
        <v>0</v>
      </c>
      <c r="N26" s="20">
        <f>'TE BE'!$N$26*'TE BF'!$N$48</f>
        <v>0</v>
      </c>
      <c r="O26" s="20">
        <f>'TE BE'!$O$26*'TE BF'!$O$48</f>
        <v>0</v>
      </c>
      <c r="P26" s="20">
        <f>'TE BE'!$P$26*'TE BF'!$P$48</f>
        <v>0</v>
      </c>
      <c r="Q26" s="20">
        <f>SUM($L$26:$P$26)</f>
        <v>0</v>
      </c>
      <c r="R26" s="20">
        <f>'TE BE'!$R$26*'TE BF'!$R$48</f>
        <v>0</v>
      </c>
      <c r="S26" s="20">
        <f>SUM($R$26:$R$26)</f>
        <v>0</v>
      </c>
      <c r="T26" s="20">
        <f>'TE BE'!$T$26*'TE BF'!$T$48</f>
        <v>0</v>
      </c>
      <c r="U26" s="20">
        <f>'TE BE'!$U$26*'TE BF'!$U$48</f>
        <v>0</v>
      </c>
      <c r="V26" s="20">
        <f>'TE BE'!$V$26*'TE BF'!$V$48</f>
        <v>0</v>
      </c>
      <c r="W26" s="20">
        <f>SUM($T$26:$V$26)</f>
        <v>0</v>
      </c>
      <c r="X26" s="20">
        <f>'TE BE'!$AB$26*'TE BF'!$X$48</f>
        <v>0</v>
      </c>
      <c r="Y26" s="20">
        <f>SUM($X$26:$X$26)</f>
        <v>0</v>
      </c>
      <c r="Z26" s="20">
        <f>'TE BE'!$Z$26*'TE BF'!$Z$48</f>
        <v>0</v>
      </c>
      <c r="AA26" s="20">
        <f>SUM($Z$26:$Z$26)</f>
        <v>0</v>
      </c>
      <c r="AB26" s="20">
        <f>SUMIF($L$4:$AA$4,"SUBTOTAL",$L$26:$AA$26)</f>
        <v>0</v>
      </c>
    </row>
    <row r="27" spans="1:28" ht="11.25" customHeight="1" x14ac:dyDescent="0.3">
      <c r="A27" s="102"/>
      <c r="B27" s="22" t="s">
        <v>81</v>
      </c>
      <c r="C27" s="22" t="s">
        <v>40</v>
      </c>
      <c r="D27" s="22" t="s">
        <v>85</v>
      </c>
      <c r="E27" s="22" t="s">
        <v>25</v>
      </c>
      <c r="F27" s="22" t="s">
        <v>25</v>
      </c>
      <c r="G27" s="23" t="s">
        <v>74</v>
      </c>
      <c r="H27" s="23" t="s">
        <v>68</v>
      </c>
      <c r="I27" s="23">
        <f>'MERCADO TE'!$U$24</f>
        <v>0</v>
      </c>
      <c r="J27" s="15"/>
      <c r="L27" s="20">
        <f>'TE BE'!$L$27*'TE BF'!$L$48</f>
        <v>0</v>
      </c>
      <c r="M27" s="20">
        <f>'TE BE'!$M$27*'TE BF'!$M$48</f>
        <v>0</v>
      </c>
      <c r="N27" s="20">
        <f>'TE BE'!$N$27*'TE BF'!$N$48</f>
        <v>0</v>
      </c>
      <c r="O27" s="20">
        <f>'TE BE'!$O$27*'TE BF'!$O$48</f>
        <v>0</v>
      </c>
      <c r="P27" s="20">
        <f>'TE BE'!$P$27*'TE BF'!$P$48</f>
        <v>0</v>
      </c>
      <c r="Q27" s="20">
        <f>SUM($L$27:$P$27)</f>
        <v>0</v>
      </c>
      <c r="R27" s="20">
        <f>'TE BE'!$R$27*'TE BF'!$R$48</f>
        <v>0</v>
      </c>
      <c r="S27" s="20">
        <f>SUM($R$27:$R$27)</f>
        <v>0</v>
      </c>
      <c r="T27" s="20">
        <f>'TE BE'!$T$27*'TE BF'!$T$48</f>
        <v>0</v>
      </c>
      <c r="U27" s="20">
        <f>'TE BE'!$U$27*'TE BF'!$U$48</f>
        <v>0</v>
      </c>
      <c r="V27" s="20">
        <f>'TE BE'!$V$27*'TE BF'!$V$48</f>
        <v>0</v>
      </c>
      <c r="W27" s="20">
        <f>SUM($T$27:$V$27)</f>
        <v>0</v>
      </c>
      <c r="X27" s="20">
        <f>'TE BE'!$AB$27*'TE BF'!$X$48</f>
        <v>0</v>
      </c>
      <c r="Y27" s="20">
        <f>SUM($X$27:$X$27)</f>
        <v>0</v>
      </c>
      <c r="Z27" s="20">
        <f>'TE BE'!$Z$27*'TE BF'!$Z$48</f>
        <v>0</v>
      </c>
      <c r="AA27" s="20">
        <f>SUM($Z$27:$Z$27)</f>
        <v>0</v>
      </c>
      <c r="AB27" s="20">
        <f>SUMIF($L$4:$AA$4,"SUBTOTAL",$L$27:$AA$27)</f>
        <v>0</v>
      </c>
    </row>
    <row r="28" spans="1:28" ht="11.25" customHeight="1" x14ac:dyDescent="0.3">
      <c r="A28" s="102"/>
      <c r="B28" s="102" t="s">
        <v>67</v>
      </c>
      <c r="C28" s="102" t="s">
        <v>40</v>
      </c>
      <c r="D28" s="102" t="s">
        <v>86</v>
      </c>
      <c r="E28" s="102" t="s">
        <v>25</v>
      </c>
      <c r="F28" s="102" t="s">
        <v>25</v>
      </c>
      <c r="G28" s="23" t="s">
        <v>69</v>
      </c>
      <c r="H28" s="23" t="s">
        <v>68</v>
      </c>
      <c r="I28" s="23">
        <f>'MERCADO TE'!$U$25</f>
        <v>0</v>
      </c>
      <c r="J28" s="15"/>
      <c r="L28" s="20">
        <f>'TE BE'!$L$28*'TE BF'!$L$48</f>
        <v>0</v>
      </c>
      <c r="M28" s="20">
        <f>'TE BE'!$M$28*'TE BF'!$M$48</f>
        <v>0</v>
      </c>
      <c r="N28" s="20">
        <f>'TE BE'!$N$28*'TE BF'!$N$48</f>
        <v>0</v>
      </c>
      <c r="O28" s="20">
        <f>'TE BE'!$O$28*'TE BF'!$O$48</f>
        <v>0</v>
      </c>
      <c r="P28" s="20">
        <f>'TE BE'!$P$28*'TE BF'!$P$48</f>
        <v>0</v>
      </c>
      <c r="Q28" s="20">
        <f>SUM($L$28:$P$28)</f>
        <v>0</v>
      </c>
      <c r="R28" s="20">
        <f>'TE BE'!$R$28*'TE BF'!$R$48</f>
        <v>0</v>
      </c>
      <c r="S28" s="20">
        <f>SUM($R$28:$R$28)</f>
        <v>0</v>
      </c>
      <c r="T28" s="20">
        <f>'TE BE'!$T$28*'TE BF'!$T$48</f>
        <v>0</v>
      </c>
      <c r="U28" s="20">
        <f>'TE BE'!$U$28*'TE BF'!$U$48</f>
        <v>0</v>
      </c>
      <c r="V28" s="20">
        <f>'TE BE'!$V$28*'TE BF'!$V$48</f>
        <v>0</v>
      </c>
      <c r="W28" s="20">
        <f>SUM($T$28:$V$28)</f>
        <v>0</v>
      </c>
      <c r="X28" s="20">
        <f>'TE BE'!$AB$28*'TE BF'!$X$48</f>
        <v>0</v>
      </c>
      <c r="Y28" s="20">
        <f>SUM($X$28:$X$28)</f>
        <v>0</v>
      </c>
      <c r="Z28" s="20">
        <f>'TE BE'!$Z$28*'TE BF'!$Z$48</f>
        <v>0</v>
      </c>
      <c r="AA28" s="20">
        <f>SUM($Z$28:$Z$28)</f>
        <v>0</v>
      </c>
      <c r="AB28" s="20">
        <f>SUMIF($L$4:$AA$4,"SUBTOTAL",$L$28:$AA$28)</f>
        <v>0</v>
      </c>
    </row>
    <row r="29" spans="1:28" ht="11.25" customHeight="1" x14ac:dyDescent="0.3">
      <c r="A29" s="102"/>
      <c r="B29" s="102"/>
      <c r="C29" s="102"/>
      <c r="D29" s="102"/>
      <c r="E29" s="102"/>
      <c r="F29" s="102"/>
      <c r="G29" s="23" t="s">
        <v>80</v>
      </c>
      <c r="H29" s="23" t="s">
        <v>68</v>
      </c>
      <c r="I29" s="23">
        <f>'MERCADO TE'!$U$26</f>
        <v>0</v>
      </c>
      <c r="J29" s="15"/>
      <c r="L29" s="20">
        <f>'TE BE'!$L$29*'TE BF'!$L$48</f>
        <v>0</v>
      </c>
      <c r="M29" s="20">
        <f>'TE BE'!$M$29*'TE BF'!$M$48</f>
        <v>0</v>
      </c>
      <c r="N29" s="20">
        <f>'TE BE'!$N$29*'TE BF'!$N$48</f>
        <v>0</v>
      </c>
      <c r="O29" s="20">
        <f>'TE BE'!$O$29*'TE BF'!$O$48</f>
        <v>0</v>
      </c>
      <c r="P29" s="20">
        <f>'TE BE'!$P$29*'TE BF'!$P$48</f>
        <v>0</v>
      </c>
      <c r="Q29" s="20">
        <f>SUM($L$29:$P$29)</f>
        <v>0</v>
      </c>
      <c r="R29" s="20">
        <f>'TE BE'!$R$29*'TE BF'!$R$48</f>
        <v>0</v>
      </c>
      <c r="S29" s="20">
        <f>SUM($R$29:$R$29)</f>
        <v>0</v>
      </c>
      <c r="T29" s="20">
        <f>'TE BE'!$T$29*'TE BF'!$T$48</f>
        <v>0</v>
      </c>
      <c r="U29" s="20">
        <f>'TE BE'!$U$29*'TE BF'!$U$48</f>
        <v>0</v>
      </c>
      <c r="V29" s="20">
        <f>'TE BE'!$V$29*'TE BF'!$V$48</f>
        <v>0</v>
      </c>
      <c r="W29" s="20">
        <f>SUM($T$29:$V$29)</f>
        <v>0</v>
      </c>
      <c r="X29" s="20">
        <f>'TE BE'!$AB$29*'TE BF'!$X$48</f>
        <v>0</v>
      </c>
      <c r="Y29" s="20">
        <f>SUM($X$29:$X$29)</f>
        <v>0</v>
      </c>
      <c r="Z29" s="20">
        <f>'TE BE'!$Z$29*'TE BF'!$Z$48</f>
        <v>0</v>
      </c>
      <c r="AA29" s="20">
        <f>SUM($Z$29:$Z$29)</f>
        <v>0</v>
      </c>
      <c r="AB29" s="20">
        <f>SUMIF($L$4:$AA$4,"SUBTOTAL",$L$29:$AA$29)</f>
        <v>0</v>
      </c>
    </row>
    <row r="30" spans="1:28" ht="11.25" customHeight="1" x14ac:dyDescent="0.3">
      <c r="A30" s="102"/>
      <c r="B30" s="102"/>
      <c r="C30" s="102"/>
      <c r="D30" s="102"/>
      <c r="E30" s="102"/>
      <c r="F30" s="102"/>
      <c r="G30" s="23" t="s">
        <v>70</v>
      </c>
      <c r="H30" s="23" t="s">
        <v>68</v>
      </c>
      <c r="I30" s="23">
        <f>'MERCADO TE'!$U$27</f>
        <v>0</v>
      </c>
      <c r="J30" s="15"/>
      <c r="L30" s="20">
        <f>'TE BE'!$L$30*'TE BF'!$L$48</f>
        <v>0</v>
      </c>
      <c r="M30" s="20">
        <f>'TE BE'!$M$30*'TE BF'!$M$48</f>
        <v>0</v>
      </c>
      <c r="N30" s="20">
        <f>'TE BE'!$N$30*'TE BF'!$N$48</f>
        <v>0</v>
      </c>
      <c r="O30" s="20">
        <f>'TE BE'!$O$30*'TE BF'!$O$48</f>
        <v>0</v>
      </c>
      <c r="P30" s="20">
        <f>'TE BE'!$P$30*'TE BF'!$P$48</f>
        <v>0</v>
      </c>
      <c r="Q30" s="20">
        <f>SUM($L$30:$P$30)</f>
        <v>0</v>
      </c>
      <c r="R30" s="20">
        <f>'TE BE'!$R$30*'TE BF'!$R$48</f>
        <v>0</v>
      </c>
      <c r="S30" s="20">
        <f>SUM($R$30:$R$30)</f>
        <v>0</v>
      </c>
      <c r="T30" s="20">
        <f>'TE BE'!$T$30*'TE BF'!$T$48</f>
        <v>0</v>
      </c>
      <c r="U30" s="20">
        <f>'TE BE'!$U$30*'TE BF'!$U$48</f>
        <v>0</v>
      </c>
      <c r="V30" s="20">
        <f>'TE BE'!$V$30*'TE BF'!$V$48</f>
        <v>0</v>
      </c>
      <c r="W30" s="20">
        <f>SUM($T$30:$V$30)</f>
        <v>0</v>
      </c>
      <c r="X30" s="20">
        <f>'TE BE'!$AB$30*'TE BF'!$X$48</f>
        <v>0</v>
      </c>
      <c r="Y30" s="20">
        <f>SUM($X$30:$X$30)</f>
        <v>0</v>
      </c>
      <c r="Z30" s="20">
        <f>'TE BE'!$Z$30*'TE BF'!$Z$48</f>
        <v>0</v>
      </c>
      <c r="AA30" s="20">
        <f>SUM($Z$30:$Z$30)</f>
        <v>0</v>
      </c>
      <c r="AB30" s="20">
        <f>SUMIF($L$4:$AA$4,"SUBTOTAL",$L$30:$AA$30)</f>
        <v>0</v>
      </c>
    </row>
    <row r="31" spans="1:28" ht="11.25" customHeight="1" x14ac:dyDescent="0.3">
      <c r="A31" s="102"/>
      <c r="B31" s="22" t="s">
        <v>81</v>
      </c>
      <c r="C31" s="22" t="s">
        <v>40</v>
      </c>
      <c r="D31" s="22" t="s">
        <v>86</v>
      </c>
      <c r="E31" s="22" t="s">
        <v>25</v>
      </c>
      <c r="F31" s="22" t="s">
        <v>25</v>
      </c>
      <c r="G31" s="23" t="s">
        <v>74</v>
      </c>
      <c r="H31" s="23" t="s">
        <v>68</v>
      </c>
      <c r="I31" s="23">
        <f>'MERCADO TE'!$U$28</f>
        <v>0</v>
      </c>
      <c r="J31" s="15"/>
      <c r="L31" s="20">
        <f>'TE BE'!$L$31*'TE BF'!$L$48</f>
        <v>0</v>
      </c>
      <c r="M31" s="20">
        <f>'TE BE'!$M$31*'TE BF'!$M$48</f>
        <v>0</v>
      </c>
      <c r="N31" s="20">
        <f>'TE BE'!$N$31*'TE BF'!$N$48</f>
        <v>0</v>
      </c>
      <c r="O31" s="20">
        <f>'TE BE'!$O$31*'TE BF'!$O$48</f>
        <v>0</v>
      </c>
      <c r="P31" s="20">
        <f>'TE BE'!$P$31*'TE BF'!$P$48</f>
        <v>0</v>
      </c>
      <c r="Q31" s="20">
        <f>SUM($L$31:$P$31)</f>
        <v>0</v>
      </c>
      <c r="R31" s="20">
        <f>'TE BE'!$R$31*'TE BF'!$R$48</f>
        <v>0</v>
      </c>
      <c r="S31" s="20">
        <f>SUM($R$31:$R$31)</f>
        <v>0</v>
      </c>
      <c r="T31" s="20">
        <f>'TE BE'!$T$31*'TE BF'!$T$48</f>
        <v>0</v>
      </c>
      <c r="U31" s="20">
        <f>'TE BE'!$U$31*'TE BF'!$U$48</f>
        <v>0</v>
      </c>
      <c r="V31" s="20">
        <f>'TE BE'!$V$31*'TE BF'!$V$48</f>
        <v>0</v>
      </c>
      <c r="W31" s="20">
        <f>SUM($T$31:$V$31)</f>
        <v>0</v>
      </c>
      <c r="X31" s="20">
        <f>'TE BE'!$AB$31*'TE BF'!$X$48</f>
        <v>0</v>
      </c>
      <c r="Y31" s="20">
        <f>SUM($X$31:$X$31)</f>
        <v>0</v>
      </c>
      <c r="Z31" s="20">
        <f>'TE BE'!$Z$31*'TE BF'!$Z$48</f>
        <v>0</v>
      </c>
      <c r="AA31" s="20">
        <f>SUM($Z$31:$Z$31)</f>
        <v>0</v>
      </c>
      <c r="AB31" s="20">
        <f>SUMIF($L$4:$AA$4,"SUBTOTAL",$L$31:$AA$31)</f>
        <v>0</v>
      </c>
    </row>
    <row r="32" spans="1:28" ht="11.25" customHeight="1" x14ac:dyDescent="0.3">
      <c r="A32" s="102"/>
      <c r="B32" s="102" t="s">
        <v>83</v>
      </c>
      <c r="C32" s="102" t="s">
        <v>40</v>
      </c>
      <c r="D32" s="22" t="s">
        <v>25</v>
      </c>
      <c r="E32" s="22" t="s">
        <v>25</v>
      </c>
      <c r="F32" s="22" t="s">
        <v>25</v>
      </c>
      <c r="G32" s="23" t="s">
        <v>74</v>
      </c>
      <c r="H32" s="23" t="s">
        <v>68</v>
      </c>
      <c r="I32" s="23">
        <f>'MERCADO TE'!$U$29</f>
        <v>0</v>
      </c>
      <c r="J32" s="15"/>
      <c r="L32" s="20">
        <f>'TE BE'!$L$32*'TE BF'!$L$48</f>
        <v>0</v>
      </c>
      <c r="M32" s="20">
        <f>'TE BE'!$M$32*'TE BF'!$M$48</f>
        <v>0</v>
      </c>
      <c r="N32" s="20">
        <f>'TE BE'!$N$32*'TE BF'!$N$48</f>
        <v>0</v>
      </c>
      <c r="O32" s="20">
        <f>'TE BE'!$O$32*'TE BF'!$O$48</f>
        <v>0</v>
      </c>
      <c r="P32" s="20">
        <f>'TE BE'!$P$32*'TE BF'!$P$48</f>
        <v>0</v>
      </c>
      <c r="Q32" s="20">
        <f>SUM($L$32:$P$32)</f>
        <v>0</v>
      </c>
      <c r="R32" s="20">
        <f>'TE BE'!$R$32*'TE BF'!$R$48</f>
        <v>0</v>
      </c>
      <c r="S32" s="20">
        <f>SUM($R$32:$R$32)</f>
        <v>0</v>
      </c>
      <c r="T32" s="20">
        <f>'TE BE'!$T$32*'TE BF'!$T$48</f>
        <v>0</v>
      </c>
      <c r="U32" s="20">
        <f>'TE BE'!$U$32*'TE BF'!$U$48</f>
        <v>0</v>
      </c>
      <c r="V32" s="20">
        <f>'TE BE'!$V$32*'TE BF'!$V$48</f>
        <v>0</v>
      </c>
      <c r="W32" s="20">
        <f>SUM($T$32:$V$32)</f>
        <v>0</v>
      </c>
      <c r="X32" s="20">
        <f>'TE BE'!$AB$32*'TE BF'!$X$48</f>
        <v>0</v>
      </c>
      <c r="Y32" s="20">
        <f>SUM($X$32:$X$32)</f>
        <v>0</v>
      </c>
      <c r="Z32" s="20">
        <f>'TE BE'!$Z$32*'TE BF'!$Z$48</f>
        <v>0</v>
      </c>
      <c r="AA32" s="20">
        <f>SUM($Z$32:$Z$32)</f>
        <v>0</v>
      </c>
      <c r="AB32" s="20">
        <f>SUMIF($L$4:$AA$4,"SUBTOTAL",$L$32:$AA$32)</f>
        <v>0</v>
      </c>
    </row>
    <row r="33" spans="1:28" ht="11.25" customHeight="1" x14ac:dyDescent="0.3">
      <c r="A33" s="102"/>
      <c r="B33" s="102"/>
      <c r="C33" s="102"/>
      <c r="D33" s="22" t="s">
        <v>85</v>
      </c>
      <c r="E33" s="22" t="s">
        <v>25</v>
      </c>
      <c r="F33" s="22" t="s">
        <v>25</v>
      </c>
      <c r="G33" s="23" t="s">
        <v>74</v>
      </c>
      <c r="H33" s="23" t="s">
        <v>68</v>
      </c>
      <c r="I33" s="23">
        <f>'MERCADO TE'!$U$30</f>
        <v>0</v>
      </c>
      <c r="J33" s="15"/>
      <c r="L33" s="20">
        <f>'TE BE'!$L$33*'TE BF'!$L$48</f>
        <v>0</v>
      </c>
      <c r="M33" s="20">
        <f>'TE BE'!$M$33*'TE BF'!$M$48</f>
        <v>0</v>
      </c>
      <c r="N33" s="20">
        <f>'TE BE'!$N$33*'TE BF'!$N$48</f>
        <v>0</v>
      </c>
      <c r="O33" s="20">
        <f>'TE BE'!$O$33*'TE BF'!$O$48</f>
        <v>0</v>
      </c>
      <c r="P33" s="20">
        <f>'TE BE'!$P$33*'TE BF'!$P$48</f>
        <v>0</v>
      </c>
      <c r="Q33" s="20">
        <f>SUM($L$33:$P$33)</f>
        <v>0</v>
      </c>
      <c r="R33" s="20">
        <f>'TE BE'!$R$33*'TE BF'!$R$48</f>
        <v>0</v>
      </c>
      <c r="S33" s="20">
        <f>SUM($R$33:$R$33)</f>
        <v>0</v>
      </c>
      <c r="T33" s="20">
        <f>'TE BE'!$T$33*'TE BF'!$T$48</f>
        <v>0</v>
      </c>
      <c r="U33" s="20">
        <f>'TE BE'!$U$33*'TE BF'!$U$48</f>
        <v>0</v>
      </c>
      <c r="V33" s="20">
        <f>'TE BE'!$V$33*'TE BF'!$V$48</f>
        <v>0</v>
      </c>
      <c r="W33" s="20">
        <f>SUM($T$33:$V$33)</f>
        <v>0</v>
      </c>
      <c r="X33" s="20">
        <f>'TE BE'!$AB$33*'TE BF'!$X$48</f>
        <v>0</v>
      </c>
      <c r="Y33" s="20">
        <f>SUM($X$33:$X$33)</f>
        <v>0</v>
      </c>
      <c r="Z33" s="20">
        <f>'TE BE'!$Z$33*'TE BF'!$Z$48</f>
        <v>0</v>
      </c>
      <c r="AA33" s="20">
        <f>SUM($Z$33:$Z$33)</f>
        <v>0</v>
      </c>
      <c r="AB33" s="20">
        <f>SUMIF($L$4:$AA$4,"SUBTOTAL",$L$33:$AA$33)</f>
        <v>0</v>
      </c>
    </row>
    <row r="34" spans="1:28" ht="11.25" customHeight="1" x14ac:dyDescent="0.3">
      <c r="A34" s="102"/>
      <c r="B34" s="102"/>
      <c r="C34" s="102"/>
      <c r="D34" s="22" t="s">
        <v>86</v>
      </c>
      <c r="E34" s="22" t="s">
        <v>25</v>
      </c>
      <c r="F34" s="22" t="s">
        <v>25</v>
      </c>
      <c r="G34" s="23" t="s">
        <v>74</v>
      </c>
      <c r="H34" s="23" t="s">
        <v>68</v>
      </c>
      <c r="I34" s="23">
        <f>'MERCADO TE'!$U$31</f>
        <v>0</v>
      </c>
      <c r="J34" s="15"/>
      <c r="L34" s="20">
        <f>'TE BE'!$L$34*'TE BF'!$L$48</f>
        <v>0</v>
      </c>
      <c r="M34" s="20">
        <f>'TE BE'!$M$34*'TE BF'!$M$48</f>
        <v>0</v>
      </c>
      <c r="N34" s="20">
        <f>'TE BE'!$N$34*'TE BF'!$N$48</f>
        <v>0</v>
      </c>
      <c r="O34" s="20">
        <f>'TE BE'!$O$34*'TE BF'!$O$48</f>
        <v>0</v>
      </c>
      <c r="P34" s="20">
        <f>'TE BE'!$P$34*'TE BF'!$P$48</f>
        <v>0</v>
      </c>
      <c r="Q34" s="20">
        <f>SUM($L$34:$P$34)</f>
        <v>0</v>
      </c>
      <c r="R34" s="20">
        <f>'TE BE'!$R$34*'TE BF'!$R$48</f>
        <v>0</v>
      </c>
      <c r="S34" s="20">
        <f>SUM($R$34:$R$34)</f>
        <v>0</v>
      </c>
      <c r="T34" s="20">
        <f>'TE BE'!$T$34*'TE BF'!$T$48</f>
        <v>0</v>
      </c>
      <c r="U34" s="20">
        <f>'TE BE'!$U$34*'TE BF'!$U$48</f>
        <v>0</v>
      </c>
      <c r="V34" s="20">
        <f>'TE BE'!$V$34*'TE BF'!$V$48</f>
        <v>0</v>
      </c>
      <c r="W34" s="20">
        <f>SUM($T$34:$V$34)</f>
        <v>0</v>
      </c>
      <c r="X34" s="20">
        <f>'TE BE'!$AB$34*'TE BF'!$X$48</f>
        <v>0</v>
      </c>
      <c r="Y34" s="20">
        <f>SUM($X$34:$X$34)</f>
        <v>0</v>
      </c>
      <c r="Z34" s="20">
        <f>'TE BE'!$Z$34*'TE BF'!$Z$48</f>
        <v>0</v>
      </c>
      <c r="AA34" s="20">
        <f>SUM($Z$34:$Z$34)</f>
        <v>0</v>
      </c>
      <c r="AB34" s="20">
        <f>SUMIF($L$4:$AA$4,"SUBTOTAL",$L$34:$AA$34)</f>
        <v>0</v>
      </c>
    </row>
    <row r="35" spans="1:28" ht="11.25" customHeight="1" x14ac:dyDescent="0.3">
      <c r="A35" s="102" t="s">
        <v>31</v>
      </c>
      <c r="B35" s="102" t="s">
        <v>67</v>
      </c>
      <c r="C35" s="102" t="s">
        <v>25</v>
      </c>
      <c r="D35" s="102" t="s">
        <v>25</v>
      </c>
      <c r="E35" s="102" t="s">
        <v>25</v>
      </c>
      <c r="F35" s="102" t="s">
        <v>25</v>
      </c>
      <c r="G35" s="23" t="s">
        <v>69</v>
      </c>
      <c r="H35" s="23" t="s">
        <v>68</v>
      </c>
      <c r="I35" s="23">
        <f>'MERCADO TE'!$U$32</f>
        <v>0</v>
      </c>
      <c r="J35" s="15"/>
      <c r="L35" s="20">
        <f>'TE BE'!$L$35*'TE BF'!$L$48</f>
        <v>0</v>
      </c>
      <c r="M35" s="20">
        <f>'TE BE'!$M$35*'TE BF'!$M$48</f>
        <v>0</v>
      </c>
      <c r="N35" s="20">
        <f>'TE BE'!$N$35*'TE BF'!$N$48</f>
        <v>0</v>
      </c>
      <c r="O35" s="20">
        <f>'TE BE'!$O$35*'TE BF'!$O$48</f>
        <v>0</v>
      </c>
      <c r="P35" s="20">
        <f>'TE BE'!$P$35*'TE BF'!$P$48</f>
        <v>0</v>
      </c>
      <c r="Q35" s="20">
        <f>SUM($L$35:$P$35)</f>
        <v>0</v>
      </c>
      <c r="R35" s="20">
        <f>'TE BE'!$R$35*'TE BF'!$R$48</f>
        <v>0</v>
      </c>
      <c r="S35" s="20">
        <f>SUM($R$35:$R$35)</f>
        <v>0</v>
      </c>
      <c r="T35" s="20">
        <f>'TE BE'!$T$35*'TE BF'!$T$48</f>
        <v>0</v>
      </c>
      <c r="U35" s="20">
        <f>'TE BE'!$U$35*'TE BF'!$U$48</f>
        <v>0</v>
      </c>
      <c r="V35" s="20">
        <f>'TE BE'!$V$35*'TE BF'!$V$48</f>
        <v>0</v>
      </c>
      <c r="W35" s="20">
        <f>SUM($T$35:$V$35)</f>
        <v>0</v>
      </c>
      <c r="X35" s="20">
        <f>'TE BE'!$AB$35*'TE BF'!$X$48</f>
        <v>0</v>
      </c>
      <c r="Y35" s="20">
        <f>SUM($X$35:$X$35)</f>
        <v>0</v>
      </c>
      <c r="Z35" s="20">
        <f>'TE BE'!$Z$35*'TE BF'!$Z$48</f>
        <v>0</v>
      </c>
      <c r="AA35" s="20">
        <f>SUM($Z$35:$Z$35)</f>
        <v>0</v>
      </c>
      <c r="AB35" s="20">
        <f>SUMIF($L$4:$AA$4,"SUBTOTAL",$L$35:$AA$35)</f>
        <v>0</v>
      </c>
    </row>
    <row r="36" spans="1:28" ht="11.25" customHeight="1" x14ac:dyDescent="0.3">
      <c r="A36" s="102"/>
      <c r="B36" s="102"/>
      <c r="C36" s="102"/>
      <c r="D36" s="102"/>
      <c r="E36" s="102"/>
      <c r="F36" s="102"/>
      <c r="G36" s="23" t="s">
        <v>80</v>
      </c>
      <c r="H36" s="23" t="s">
        <v>68</v>
      </c>
      <c r="I36" s="23">
        <f>'MERCADO TE'!$U$33</f>
        <v>0</v>
      </c>
      <c r="J36" s="15"/>
      <c r="L36" s="20">
        <f>'TE BE'!$L$36*'TE BF'!$L$48</f>
        <v>0</v>
      </c>
      <c r="M36" s="20">
        <f>'TE BE'!$M$36*'TE BF'!$M$48</f>
        <v>0</v>
      </c>
      <c r="N36" s="20">
        <f>'TE BE'!$N$36*'TE BF'!$N$48</f>
        <v>0</v>
      </c>
      <c r="O36" s="20">
        <f>'TE BE'!$O$36*'TE BF'!$O$48</f>
        <v>0</v>
      </c>
      <c r="P36" s="20">
        <f>'TE BE'!$P$36*'TE BF'!$P$48</f>
        <v>0</v>
      </c>
      <c r="Q36" s="20">
        <f>SUM($L$36:$P$36)</f>
        <v>0</v>
      </c>
      <c r="R36" s="20">
        <f>'TE BE'!$R$36*'TE BF'!$R$48</f>
        <v>0</v>
      </c>
      <c r="S36" s="20">
        <f>SUM($R$36:$R$36)</f>
        <v>0</v>
      </c>
      <c r="T36" s="20">
        <f>'TE BE'!$T$36*'TE BF'!$T$48</f>
        <v>0</v>
      </c>
      <c r="U36" s="20">
        <f>'TE BE'!$U$36*'TE BF'!$U$48</f>
        <v>0</v>
      </c>
      <c r="V36" s="20">
        <f>'TE BE'!$V$36*'TE BF'!$V$48</f>
        <v>0</v>
      </c>
      <c r="W36" s="20">
        <f>SUM($T$36:$V$36)</f>
        <v>0</v>
      </c>
      <c r="X36" s="20">
        <f>'TE BE'!$AB$36*'TE BF'!$X$48</f>
        <v>0</v>
      </c>
      <c r="Y36" s="20">
        <f>SUM($X$36:$X$36)</f>
        <v>0</v>
      </c>
      <c r="Z36" s="20">
        <f>'TE BE'!$Z$36*'TE BF'!$Z$48</f>
        <v>0</v>
      </c>
      <c r="AA36" s="20">
        <f>SUM($Z$36:$Z$36)</f>
        <v>0</v>
      </c>
      <c r="AB36" s="20">
        <f>SUMIF($L$4:$AA$4,"SUBTOTAL",$L$36:$AA$36)</f>
        <v>0</v>
      </c>
    </row>
    <row r="37" spans="1:28" ht="11.25" customHeight="1" x14ac:dyDescent="0.3">
      <c r="A37" s="102"/>
      <c r="B37" s="102"/>
      <c r="C37" s="102"/>
      <c r="D37" s="102"/>
      <c r="E37" s="102"/>
      <c r="F37" s="102"/>
      <c r="G37" s="23" t="s">
        <v>70</v>
      </c>
      <c r="H37" s="23" t="s">
        <v>68</v>
      </c>
      <c r="I37" s="23">
        <f>'MERCADO TE'!$U$34</f>
        <v>0</v>
      </c>
      <c r="J37" s="15"/>
      <c r="L37" s="20">
        <f>'TE BE'!$L$37*'TE BF'!$L$48</f>
        <v>0</v>
      </c>
      <c r="M37" s="20">
        <f>'TE BE'!$M$37*'TE BF'!$M$48</f>
        <v>0</v>
      </c>
      <c r="N37" s="20">
        <f>'TE BE'!$N$37*'TE BF'!$N$48</f>
        <v>0</v>
      </c>
      <c r="O37" s="20">
        <f>'TE BE'!$O$37*'TE BF'!$O$48</f>
        <v>0</v>
      </c>
      <c r="P37" s="20">
        <f>'TE BE'!$P$37*'TE BF'!$P$48</f>
        <v>0</v>
      </c>
      <c r="Q37" s="20">
        <f>SUM($L$37:$P$37)</f>
        <v>0</v>
      </c>
      <c r="R37" s="20">
        <f>'TE BE'!$R$37*'TE BF'!$R$48</f>
        <v>0</v>
      </c>
      <c r="S37" s="20">
        <f>SUM($R$37:$R$37)</f>
        <v>0</v>
      </c>
      <c r="T37" s="20">
        <f>'TE BE'!$T$37*'TE BF'!$T$48</f>
        <v>0</v>
      </c>
      <c r="U37" s="20">
        <f>'TE BE'!$U$37*'TE BF'!$U$48</f>
        <v>0</v>
      </c>
      <c r="V37" s="20">
        <f>'TE BE'!$V$37*'TE BF'!$V$48</f>
        <v>0</v>
      </c>
      <c r="W37" s="20">
        <f>SUM($T$37:$V$37)</f>
        <v>0</v>
      </c>
      <c r="X37" s="20">
        <f>'TE BE'!$AB$37*'TE BF'!$X$48</f>
        <v>0</v>
      </c>
      <c r="Y37" s="20">
        <f>SUM($X$37:$X$37)</f>
        <v>0</v>
      </c>
      <c r="Z37" s="20">
        <f>'TE BE'!$Z$37*'TE BF'!$Z$48</f>
        <v>0</v>
      </c>
      <c r="AA37" s="20">
        <f>SUM($Z$37:$Z$37)</f>
        <v>0</v>
      </c>
      <c r="AB37" s="20">
        <f>SUMIF($L$4:$AA$4,"SUBTOTAL",$L$37:$AA$37)</f>
        <v>0</v>
      </c>
    </row>
    <row r="38" spans="1:28" ht="11.25" customHeight="1" x14ac:dyDescent="0.3">
      <c r="A38" s="102"/>
      <c r="B38" s="22" t="s">
        <v>81</v>
      </c>
      <c r="C38" s="22" t="s">
        <v>25</v>
      </c>
      <c r="D38" s="22" t="s">
        <v>25</v>
      </c>
      <c r="E38" s="22" t="s">
        <v>25</v>
      </c>
      <c r="F38" s="22" t="s">
        <v>25</v>
      </c>
      <c r="G38" s="23" t="s">
        <v>74</v>
      </c>
      <c r="H38" s="23" t="s">
        <v>68</v>
      </c>
      <c r="I38" s="23">
        <f>'MERCADO TE'!$U$35</f>
        <v>321.71000000000004</v>
      </c>
      <c r="J38" s="15"/>
      <c r="L38" s="20">
        <f>'TE BE'!$L$38*'TE BF'!$L$48</f>
        <v>0</v>
      </c>
      <c r="M38" s="20">
        <f>'TE BE'!$M$38*'TE BF'!$M$48</f>
        <v>0</v>
      </c>
      <c r="N38" s="20">
        <f>'TE BE'!$N$38*'TE BF'!$N$48</f>
        <v>0</v>
      </c>
      <c r="O38" s="20">
        <f>'TE BE'!$O$38*'TE BF'!$O$48</f>
        <v>0</v>
      </c>
      <c r="P38" s="20">
        <f>'TE BE'!$P$38*'TE BF'!$P$48</f>
        <v>0</v>
      </c>
      <c r="Q38" s="20">
        <f>SUM($L$38:$P$38)</f>
        <v>0</v>
      </c>
      <c r="R38" s="20">
        <f>'TE BE'!$R$38*'TE BF'!$R$48</f>
        <v>0</v>
      </c>
      <c r="S38" s="20">
        <f>SUM($R$38:$R$38)</f>
        <v>0</v>
      </c>
      <c r="T38" s="20">
        <f>'TE BE'!$T$38*'TE BF'!$T$48</f>
        <v>0</v>
      </c>
      <c r="U38" s="20">
        <f>'TE BE'!$U$38*'TE BF'!$U$48</f>
        <v>0</v>
      </c>
      <c r="V38" s="20">
        <f>'TE BE'!$V$38*'TE BF'!$V$48</f>
        <v>0</v>
      </c>
      <c r="W38" s="20">
        <f>SUM($T$38:$V$38)</f>
        <v>0</v>
      </c>
      <c r="X38" s="20">
        <f>'TE BE'!$AB$38*'TE BF'!$X$48</f>
        <v>0</v>
      </c>
      <c r="Y38" s="20">
        <f>SUM($X$38:$X$38)</f>
        <v>0</v>
      </c>
      <c r="Z38" s="20">
        <f>'TE BE'!$Z$38*'TE BF'!$Z$48</f>
        <v>0</v>
      </c>
      <c r="AA38" s="20">
        <f>SUM($Z$38:$Z$38)</f>
        <v>0</v>
      </c>
      <c r="AB38" s="20">
        <f>SUMIF($L$4:$AA$4,"SUBTOTAL",$L$38:$AA$38)</f>
        <v>0</v>
      </c>
    </row>
    <row r="39" spans="1:28" ht="11.25" customHeight="1" x14ac:dyDescent="0.3">
      <c r="A39" s="102"/>
      <c r="B39" s="22" t="s">
        <v>83</v>
      </c>
      <c r="C39" s="22" t="s">
        <v>25</v>
      </c>
      <c r="D39" s="22" t="s">
        <v>25</v>
      </c>
      <c r="E39" s="22" t="s">
        <v>25</v>
      </c>
      <c r="F39" s="22" t="s">
        <v>25</v>
      </c>
      <c r="G39" s="23" t="s">
        <v>74</v>
      </c>
      <c r="H39" s="23" t="s">
        <v>68</v>
      </c>
      <c r="I39" s="23">
        <f>'MERCADO TE'!$U$36</f>
        <v>0</v>
      </c>
      <c r="J39" s="15"/>
      <c r="L39" s="20">
        <f>'TE BE'!$L$39*'TE BF'!$L$48</f>
        <v>0</v>
      </c>
      <c r="M39" s="20">
        <f>'TE BE'!$M$39*'TE BF'!$M$48</f>
        <v>0</v>
      </c>
      <c r="N39" s="20">
        <f>'TE BE'!$N$39*'TE BF'!$N$48</f>
        <v>0</v>
      </c>
      <c r="O39" s="20">
        <f>'TE BE'!$O$39*'TE BF'!$O$48</f>
        <v>0</v>
      </c>
      <c r="P39" s="20">
        <f>'TE BE'!$P$39*'TE BF'!$P$48</f>
        <v>0</v>
      </c>
      <c r="Q39" s="20">
        <f>SUM($L$39:$P$39)</f>
        <v>0</v>
      </c>
      <c r="R39" s="20">
        <f>'TE BE'!$R$39*'TE BF'!$R$48</f>
        <v>0</v>
      </c>
      <c r="S39" s="20">
        <f>SUM($R$39:$R$39)</f>
        <v>0</v>
      </c>
      <c r="T39" s="20">
        <f>'TE BE'!$T$39*'TE BF'!$T$48</f>
        <v>0</v>
      </c>
      <c r="U39" s="20">
        <f>'TE BE'!$U$39*'TE BF'!$U$48</f>
        <v>0</v>
      </c>
      <c r="V39" s="20">
        <f>'TE BE'!$V$39*'TE BF'!$V$48</f>
        <v>0</v>
      </c>
      <c r="W39" s="20">
        <f>SUM($T$39:$V$39)</f>
        <v>0</v>
      </c>
      <c r="X39" s="20">
        <f>'TE BE'!$AB$39*'TE BF'!$X$48</f>
        <v>0</v>
      </c>
      <c r="Y39" s="20">
        <f>SUM($X$39:$X$39)</f>
        <v>0</v>
      </c>
      <c r="Z39" s="20">
        <f>'TE BE'!$Z$39*'TE BF'!$Z$48</f>
        <v>0</v>
      </c>
      <c r="AA39" s="20">
        <f>SUM($Z$39:$Z$39)</f>
        <v>0</v>
      </c>
      <c r="AB39" s="20">
        <f>SUMIF($L$4:$AA$4,"SUBTOTAL",$L$39:$AA$39)</f>
        <v>0</v>
      </c>
    </row>
    <row r="40" spans="1:28" ht="11.25" customHeight="1" x14ac:dyDescent="0.3">
      <c r="A40" s="102" t="s">
        <v>43</v>
      </c>
      <c r="B40" s="102" t="s">
        <v>81</v>
      </c>
      <c r="C40" s="102" t="s">
        <v>44</v>
      </c>
      <c r="D40" s="22" t="s">
        <v>45</v>
      </c>
      <c r="E40" s="22" t="s">
        <v>25</v>
      </c>
      <c r="F40" s="22" t="s">
        <v>25</v>
      </c>
      <c r="G40" s="23" t="s">
        <v>74</v>
      </c>
      <c r="H40" s="23" t="s">
        <v>68</v>
      </c>
      <c r="I40" s="23">
        <f>'MERCADO TE'!$U$37</f>
        <v>249.66400000000002</v>
      </c>
      <c r="J40" s="15"/>
      <c r="L40" s="20">
        <f>'TE BE'!$L$40*'TE BF'!$L$48</f>
        <v>0</v>
      </c>
      <c r="M40" s="20">
        <f>'TE BE'!$M$40*'TE BF'!$M$48</f>
        <v>0</v>
      </c>
      <c r="N40" s="20">
        <f>'TE BE'!$N$40*'TE BF'!$N$48</f>
        <v>0</v>
      </c>
      <c r="O40" s="20">
        <f>'TE BE'!$O$40*'TE BF'!$O$48</f>
        <v>0</v>
      </c>
      <c r="P40" s="20">
        <f>'TE BE'!$P$40*'TE BF'!$P$48</f>
        <v>0</v>
      </c>
      <c r="Q40" s="20">
        <f>SUM($L$40:$P$40)</f>
        <v>0</v>
      </c>
      <c r="R40" s="20">
        <f>'TE BE'!$R$40*'TE BF'!$R$48</f>
        <v>0</v>
      </c>
      <c r="S40" s="20">
        <f>SUM($R$40:$R$40)</f>
        <v>0</v>
      </c>
      <c r="T40" s="20">
        <f>'TE BE'!$T$40*'TE BF'!$T$48</f>
        <v>0</v>
      </c>
      <c r="U40" s="20">
        <f>'TE BE'!$U$40*'TE BF'!$U$48</f>
        <v>0</v>
      </c>
      <c r="V40" s="20">
        <f>'TE BE'!$V$40*'TE BF'!$V$48</f>
        <v>0</v>
      </c>
      <c r="W40" s="20">
        <f>SUM($T$40:$V$40)</f>
        <v>0</v>
      </c>
      <c r="X40" s="20">
        <f>'TE BE'!$AB$40*'TE BF'!$X$48</f>
        <v>0</v>
      </c>
      <c r="Y40" s="20">
        <f>SUM($X$40:$X$40)</f>
        <v>0</v>
      </c>
      <c r="Z40" s="20">
        <f>'TE BE'!$Z$40*'TE BF'!$Z$48</f>
        <v>0</v>
      </c>
      <c r="AA40" s="20">
        <f>SUM($Z$40:$Z$40)</f>
        <v>0</v>
      </c>
      <c r="AB40" s="20">
        <f>SUMIF($L$4:$AA$4,"SUBTOTAL",$L$40:$AA$40)</f>
        <v>0</v>
      </c>
    </row>
    <row r="41" spans="1:28" ht="11.25" customHeight="1" x14ac:dyDescent="0.3">
      <c r="A41" s="102"/>
      <c r="B41" s="102"/>
      <c r="C41" s="102"/>
      <c r="D41" s="23" t="s">
        <v>87</v>
      </c>
      <c r="E41" s="23" t="s">
        <v>25</v>
      </c>
      <c r="F41" s="23" t="s">
        <v>25</v>
      </c>
      <c r="G41" s="23" t="s">
        <v>74</v>
      </c>
      <c r="H41" s="23" t="s">
        <v>68</v>
      </c>
      <c r="I41" s="23">
        <f>'MERCADO TE'!$U$38</f>
        <v>0</v>
      </c>
      <c r="J41" s="15"/>
      <c r="L41" s="20">
        <f>'TE BE'!$L$41*'TE BF'!$L$48</f>
        <v>0</v>
      </c>
      <c r="M41" s="20">
        <f>'TE BE'!$M$41*'TE BF'!$M$48</f>
        <v>0</v>
      </c>
      <c r="N41" s="20">
        <f>'TE BE'!$N$41*'TE BF'!$N$48</f>
        <v>0</v>
      </c>
      <c r="O41" s="20">
        <f>'TE BE'!$O$41*'TE BF'!$O$48</f>
        <v>0</v>
      </c>
      <c r="P41" s="20">
        <f>'TE BE'!$P$41*'TE BF'!$P$48</f>
        <v>0</v>
      </c>
      <c r="Q41" s="20">
        <f>SUM($L$41:$P$41)</f>
        <v>0</v>
      </c>
      <c r="R41" s="20">
        <f>'TE BE'!$R$41*'TE BF'!$R$48</f>
        <v>0</v>
      </c>
      <c r="S41" s="20">
        <f>SUM($R$41:$R$41)</f>
        <v>0</v>
      </c>
      <c r="T41" s="20">
        <f>'TE BE'!$T$41*'TE BF'!$T$48</f>
        <v>0</v>
      </c>
      <c r="U41" s="20">
        <f>'TE BE'!$U$41*'TE BF'!$U$48</f>
        <v>0</v>
      </c>
      <c r="V41" s="20">
        <f>'TE BE'!$V$41*'TE BF'!$V$48</f>
        <v>0</v>
      </c>
      <c r="W41" s="20">
        <f>SUM($T$41:$V$41)</f>
        <v>0</v>
      </c>
      <c r="X41" s="20">
        <f>'TE BE'!$AB$41*'TE BF'!$X$48</f>
        <v>0</v>
      </c>
      <c r="Y41" s="20">
        <f>SUM($X$41:$X$41)</f>
        <v>0</v>
      </c>
      <c r="Z41" s="20">
        <f>'TE BE'!$Z$41*'TE BF'!$Z$48</f>
        <v>0</v>
      </c>
      <c r="AA41" s="20">
        <f>SUM($Z$41:$Z$41)</f>
        <v>0</v>
      </c>
      <c r="AB41" s="20">
        <f>SUMIF($L$4:$AA$4,"SUBTOTAL",$L$41:$AA$41)</f>
        <v>0</v>
      </c>
    </row>
    <row r="43" spans="1:28" ht="11.25" customHeight="1" x14ac:dyDescent="0.3">
      <c r="K43" s="25" t="s">
        <v>490</v>
      </c>
      <c r="L43" s="20">
        <f t="shared" ref="L43:AB43" si="0">SUMPRODUCT($I$5:$I$41,L$5:L$41)</f>
        <v>0</v>
      </c>
      <c r="M43" s="20">
        <f t="shared" si="0"/>
        <v>0</v>
      </c>
      <c r="N43" s="20">
        <f t="shared" si="0"/>
        <v>0</v>
      </c>
      <c r="O43" s="20">
        <f t="shared" si="0"/>
        <v>0</v>
      </c>
      <c r="P43" s="20">
        <f t="shared" si="0"/>
        <v>0</v>
      </c>
      <c r="Q43" s="20">
        <f t="shared" si="0"/>
        <v>0</v>
      </c>
      <c r="R43" s="20">
        <f t="shared" si="0"/>
        <v>0</v>
      </c>
      <c r="S43" s="20">
        <f t="shared" si="0"/>
        <v>0</v>
      </c>
      <c r="T43" s="20">
        <f t="shared" si="0"/>
        <v>0</v>
      </c>
      <c r="U43" s="20">
        <f t="shared" si="0"/>
        <v>0</v>
      </c>
      <c r="V43" s="20">
        <f t="shared" si="0"/>
        <v>0</v>
      </c>
      <c r="W43" s="20">
        <f t="shared" si="0"/>
        <v>0</v>
      </c>
      <c r="X43" s="20">
        <f t="shared" si="0"/>
        <v>0</v>
      </c>
      <c r="Y43" s="20">
        <f t="shared" si="0"/>
        <v>0</v>
      </c>
      <c r="Z43" s="20">
        <f t="shared" si="0"/>
        <v>0</v>
      </c>
      <c r="AA43" s="20">
        <f t="shared" si="0"/>
        <v>0</v>
      </c>
      <c r="AB43" s="20">
        <f t="shared" si="0"/>
        <v>0</v>
      </c>
    </row>
    <row r="44" spans="1:28" ht="11.25" customHeight="1" x14ac:dyDescent="0.3">
      <c r="K44" s="25" t="s">
        <v>409</v>
      </c>
      <c r="L44" s="20">
        <f>CUSTOS!$D$30</f>
        <v>0</v>
      </c>
      <c r="M44" s="20">
        <f>CUSTOS!$D$31</f>
        <v>286370.12</v>
      </c>
      <c r="N44" s="20">
        <f>CUSTOS!$D$32</f>
        <v>0</v>
      </c>
      <c r="O44" s="20">
        <f>CUSTOS!$D$33</f>
        <v>0</v>
      </c>
      <c r="P44" s="20">
        <f>CUSTOS!$D$34</f>
        <v>0</v>
      </c>
      <c r="Q44" s="20">
        <f>CUSTOS!$D$35</f>
        <v>286370.12</v>
      </c>
      <c r="R44" s="20">
        <f>CUSTOS!$D$36</f>
        <v>3436906.3383104918</v>
      </c>
      <c r="S44" s="20">
        <f>CUSTOS!$D$37</f>
        <v>3436906.3383104918</v>
      </c>
      <c r="T44" s="20">
        <f>CUSTOS!$D$38</f>
        <v>0</v>
      </c>
      <c r="U44" s="20">
        <f>CUSTOS!$D$39</f>
        <v>0</v>
      </c>
      <c r="V44" s="20">
        <f>CUSTOS!$D$40</f>
        <v>0</v>
      </c>
      <c r="W44" s="20">
        <f>CUSTOS!$D$41</f>
        <v>0</v>
      </c>
      <c r="X44" s="20">
        <f>CUSTOS!$D$42</f>
        <v>0</v>
      </c>
      <c r="Y44" s="20">
        <f>CUSTOS!$D$43</f>
        <v>0</v>
      </c>
      <c r="Z44" s="20">
        <f>CUSTOS!$D$44</f>
        <v>0</v>
      </c>
      <c r="AA44" s="20">
        <f>CUSTOS!$D$45</f>
        <v>0</v>
      </c>
      <c r="AB44" s="20">
        <f>CUSTOS!$D$46</f>
        <v>3723276.4583104919</v>
      </c>
    </row>
    <row r="45" spans="1:28" ht="11.25" customHeight="1" x14ac:dyDescent="0.3">
      <c r="K45" s="25" t="s">
        <v>410</v>
      </c>
      <c r="L45" s="20">
        <f>CUSTOS!$E$30</f>
        <v>0</v>
      </c>
      <c r="M45" s="20">
        <f>CUSTOS!$E$31</f>
        <v>0</v>
      </c>
      <c r="N45" s="20">
        <f>CUSTOS!$E$32</f>
        <v>0</v>
      </c>
      <c r="O45" s="20">
        <f>CUSTOS!$E$33</f>
        <v>0</v>
      </c>
      <c r="P45" s="20">
        <f>CUSTOS!$E$34</f>
        <v>0</v>
      </c>
      <c r="Q45" s="20">
        <f>CUSTOS!$E$35</f>
        <v>0</v>
      </c>
      <c r="R45" s="20">
        <f>CUSTOS!$E$36</f>
        <v>246488.21645955983</v>
      </c>
      <c r="S45" s="20">
        <f>CUSTOS!$E$37</f>
        <v>246488.21645955983</v>
      </c>
      <c r="T45" s="20">
        <f>CUSTOS!$E$38</f>
        <v>0</v>
      </c>
      <c r="U45" s="20">
        <f>CUSTOS!$E$39</f>
        <v>0</v>
      </c>
      <c r="V45" s="20">
        <f>CUSTOS!$E$40</f>
        <v>0</v>
      </c>
      <c r="W45" s="20">
        <f>CUSTOS!$E$41</f>
        <v>0</v>
      </c>
      <c r="X45" s="20">
        <f>CUSTOS!$E$42</f>
        <v>0</v>
      </c>
      <c r="Y45" s="20">
        <f>CUSTOS!$E$43</f>
        <v>0</v>
      </c>
      <c r="Z45" s="20">
        <f>CUSTOS!$E$44</f>
        <v>0</v>
      </c>
      <c r="AA45" s="20">
        <f>CUSTOS!$E$45</f>
        <v>0</v>
      </c>
      <c r="AB45" s="20">
        <f>CUSTOS!$E$46</f>
        <v>246488.21645955983</v>
      </c>
    </row>
    <row r="46" spans="1:28" ht="11.25" customHeight="1" x14ac:dyDescent="0.3">
      <c r="K46" s="25" t="s">
        <v>411</v>
      </c>
      <c r="L46" s="20">
        <f>CUSTOS!$F$30</f>
        <v>0</v>
      </c>
      <c r="M46" s="20">
        <f>CUSTOS!$F$31</f>
        <v>0</v>
      </c>
      <c r="N46" s="20">
        <f>CUSTOS!$F$32</f>
        <v>0</v>
      </c>
      <c r="O46" s="20">
        <f>CUSTOS!$F$33</f>
        <v>0</v>
      </c>
      <c r="P46" s="20">
        <f>CUSTOS!$F$34</f>
        <v>0</v>
      </c>
      <c r="Q46" s="20">
        <f>CUSTOS!$F$35</f>
        <v>0</v>
      </c>
      <c r="R46" s="20">
        <f>CUSTOS!$F$36</f>
        <v>0</v>
      </c>
      <c r="S46" s="20">
        <f>CUSTOS!$F$37</f>
        <v>0</v>
      </c>
      <c r="T46" s="20">
        <f>CUSTOS!$F$38</f>
        <v>0</v>
      </c>
      <c r="U46" s="20">
        <f>CUSTOS!$F$39</f>
        <v>0</v>
      </c>
      <c r="V46" s="20">
        <f>CUSTOS!$F$40</f>
        <v>0</v>
      </c>
      <c r="W46" s="20">
        <f>CUSTOS!$F$41</f>
        <v>0</v>
      </c>
      <c r="X46" s="20">
        <f>CUSTOS!$F$42</f>
        <v>0</v>
      </c>
      <c r="Y46" s="20">
        <f>CUSTOS!$F$43</f>
        <v>0</v>
      </c>
      <c r="Z46" s="20">
        <f>CUSTOS!$F$44</f>
        <v>0</v>
      </c>
      <c r="AA46" s="20">
        <f>CUSTOS!$F$45</f>
        <v>0</v>
      </c>
      <c r="AB46" s="20">
        <f>CUSTOS!$F$46</f>
        <v>0</v>
      </c>
    </row>
    <row r="47" spans="1:28" ht="11.25" customHeight="1" x14ac:dyDescent="0.3"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1.25" customHeight="1" x14ac:dyDescent="0.3"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1:28" ht="11.25" customHeight="1" x14ac:dyDescent="0.3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</sheetData>
  <mergeCells count="61">
    <mergeCell ref="T3:W3"/>
    <mergeCell ref="X3:Y3"/>
    <mergeCell ref="A1:A4"/>
    <mergeCell ref="B1:B4"/>
    <mergeCell ref="C1:C4"/>
    <mergeCell ref="D1:D4"/>
    <mergeCell ref="E1:E4"/>
    <mergeCell ref="F1:F4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F7:F9"/>
    <mergeCell ref="B10:B14"/>
    <mergeCell ref="C10:C14"/>
    <mergeCell ref="B15:B19"/>
    <mergeCell ref="C15:C19"/>
    <mergeCell ref="A7:A19"/>
    <mergeCell ref="B7:B9"/>
    <mergeCell ref="C7:C9"/>
    <mergeCell ref="D7:D9"/>
    <mergeCell ref="E7:E9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E35:E37"/>
    <mergeCell ref="F35:F37"/>
    <mergeCell ref="A40:A41"/>
    <mergeCell ref="B40:B41"/>
    <mergeCell ref="C40:C41"/>
    <mergeCell ref="D35:D37"/>
  </mergeCells>
  <conditionalFormatting sqref="L43">
    <cfRule type="cellIs" dxfId="556" priority="33" operator="notEqual">
      <formula>$L$46</formula>
    </cfRule>
    <cfRule type="cellIs" dxfId="555" priority="34" operator="equal">
      <formula>$L$46</formula>
    </cfRule>
  </conditionalFormatting>
  <conditionalFormatting sqref="M43">
    <cfRule type="cellIs" dxfId="554" priority="31" operator="notEqual">
      <formula>$M$46</formula>
    </cfRule>
    <cfRule type="cellIs" dxfId="553" priority="32" operator="equal">
      <formula>$M$46</formula>
    </cfRule>
  </conditionalFormatting>
  <conditionalFormatting sqref="N43">
    <cfRule type="cellIs" dxfId="552" priority="29" operator="notEqual">
      <formula>$N$46</formula>
    </cfRule>
    <cfRule type="cellIs" dxfId="551" priority="30" operator="equal">
      <formula>$N$46</formula>
    </cfRule>
  </conditionalFormatting>
  <conditionalFormatting sqref="O43">
    <cfRule type="cellIs" dxfId="550" priority="27" operator="notEqual">
      <formula>$O$46</formula>
    </cfRule>
    <cfRule type="cellIs" dxfId="549" priority="28" operator="equal">
      <formula>$O$46</formula>
    </cfRule>
  </conditionalFormatting>
  <conditionalFormatting sqref="P43">
    <cfRule type="cellIs" dxfId="548" priority="25" operator="notEqual">
      <formula>$P$46</formula>
    </cfRule>
    <cfRule type="cellIs" dxfId="547" priority="26" operator="equal">
      <formula>$P$46</formula>
    </cfRule>
  </conditionalFormatting>
  <conditionalFormatting sqref="Q43">
    <cfRule type="cellIs" dxfId="546" priority="23" operator="notEqual">
      <formula>$Q$46</formula>
    </cfRule>
    <cfRule type="cellIs" dxfId="545" priority="24" operator="equal">
      <formula>$Q$46</formula>
    </cfRule>
  </conditionalFormatting>
  <conditionalFormatting sqref="R43">
    <cfRule type="cellIs" dxfId="544" priority="21" operator="notEqual">
      <formula>$R$46</formula>
    </cfRule>
    <cfRule type="cellIs" dxfId="543" priority="22" operator="equal">
      <formula>$R$46</formula>
    </cfRule>
  </conditionalFormatting>
  <conditionalFormatting sqref="S43">
    <cfRule type="cellIs" dxfId="542" priority="19" operator="notEqual">
      <formula>$S$46</formula>
    </cfRule>
    <cfRule type="cellIs" dxfId="541" priority="20" operator="equal">
      <formula>$S$46</formula>
    </cfRule>
  </conditionalFormatting>
  <conditionalFormatting sqref="T43">
    <cfRule type="cellIs" dxfId="540" priority="17" operator="notEqual">
      <formula>$T$46</formula>
    </cfRule>
    <cfRule type="cellIs" dxfId="539" priority="18" operator="equal">
      <formula>$T$46</formula>
    </cfRule>
  </conditionalFormatting>
  <conditionalFormatting sqref="U43">
    <cfRule type="cellIs" dxfId="538" priority="15" operator="notEqual">
      <formula>$U$46</formula>
    </cfRule>
    <cfRule type="cellIs" dxfId="537" priority="16" operator="equal">
      <formula>$U$46</formula>
    </cfRule>
  </conditionalFormatting>
  <conditionalFormatting sqref="V43">
    <cfRule type="cellIs" dxfId="536" priority="13" operator="notEqual">
      <formula>$V$46</formula>
    </cfRule>
    <cfRule type="cellIs" dxfId="535" priority="14" operator="equal">
      <formula>$V$46</formula>
    </cfRule>
  </conditionalFormatting>
  <conditionalFormatting sqref="W43">
    <cfRule type="cellIs" dxfId="534" priority="11" operator="notEqual">
      <formula>$W$46</formula>
    </cfRule>
    <cfRule type="cellIs" dxfId="533" priority="12" operator="equal">
      <formula>$W$46</formula>
    </cfRule>
  </conditionalFormatting>
  <conditionalFormatting sqref="X43">
    <cfRule type="cellIs" dxfId="532" priority="9" operator="notEqual">
      <formula>$X$46</formula>
    </cfRule>
    <cfRule type="cellIs" dxfId="531" priority="10" operator="equal">
      <formula>$X$46</formula>
    </cfRule>
  </conditionalFormatting>
  <conditionalFormatting sqref="Y43">
    <cfRule type="cellIs" dxfId="530" priority="7" operator="notEqual">
      <formula>$Y$46</formula>
    </cfRule>
    <cfRule type="cellIs" dxfId="529" priority="8" operator="equal">
      <formula>$Y$46</formula>
    </cfRule>
  </conditionalFormatting>
  <conditionalFormatting sqref="Z43">
    <cfRule type="cellIs" dxfId="528" priority="5" operator="notEqual">
      <formula>$Z$46</formula>
    </cfRule>
    <cfRule type="cellIs" dxfId="527" priority="6" operator="equal">
      <formula>$Z$46</formula>
    </cfRule>
  </conditionalFormatting>
  <conditionalFormatting sqref="AA43">
    <cfRule type="cellIs" dxfId="526" priority="3" operator="notEqual">
      <formula>$AA$46</formula>
    </cfRule>
    <cfRule type="cellIs" dxfId="525" priority="4" operator="equal">
      <formula>$AA$46</formula>
    </cfRule>
  </conditionalFormatting>
  <conditionalFormatting sqref="AB43">
    <cfRule type="cellIs" dxfId="524" priority="1" operator="notEqual">
      <formula>$AB$46</formula>
    </cfRule>
    <cfRule type="cellIs" dxfId="523" priority="2" operator="equal">
      <formula>$AB$46</formula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5572-55B6-498D-8BE8-8DD407DD2B57}">
  <dimension ref="A1:AV225"/>
  <sheetViews>
    <sheetView showGridLines="0" topLeftCell="AF1" workbookViewId="0">
      <selection activeCell="AU13" sqref="AU13"/>
    </sheetView>
  </sheetViews>
  <sheetFormatPr defaultRowHeight="11.25" customHeight="1" x14ac:dyDescent="0.3"/>
  <cols>
    <col min="1" max="1" width="18" style="4" bestFit="1" customWidth="1"/>
    <col min="2" max="2" width="12.109375" style="4" bestFit="1" customWidth="1"/>
    <col min="3" max="3" width="13.5546875" style="4" bestFit="1" customWidth="1"/>
    <col min="4" max="4" width="12.6640625" style="4" bestFit="1" customWidth="1"/>
    <col min="5" max="5" width="23.109375" style="4" bestFit="1" customWidth="1"/>
    <col min="6" max="6" width="12.88671875" style="4" bestFit="1" customWidth="1"/>
    <col min="7" max="7" width="10.21875" style="4" bestFit="1" customWidth="1"/>
    <col min="8" max="8" width="9.5546875" style="4" bestFit="1" customWidth="1"/>
    <col min="9" max="9" width="10.77734375" style="5" bestFit="1" customWidth="1"/>
    <col min="10" max="10" width="6.33203125" style="6" bestFit="1" customWidth="1"/>
    <col min="11" max="11" width="7.5546875" style="6" bestFit="1" customWidth="1"/>
    <col min="12" max="12" width="10.77734375" style="6" bestFit="1" customWidth="1"/>
    <col min="13" max="13" width="12.109375" style="6" bestFit="1" customWidth="1"/>
    <col min="14" max="14" width="8.6640625" style="6" bestFit="1" customWidth="1"/>
    <col min="15" max="15" width="10" style="6" bestFit="1" customWidth="1"/>
    <col min="16" max="16" width="7.21875" style="6" bestFit="1" customWidth="1"/>
    <col min="17" max="17" width="10.44140625" style="4" bestFit="1" customWidth="1"/>
    <col min="18" max="18" width="12.44140625" style="4" bestFit="1" customWidth="1"/>
    <col min="19" max="19" width="21.88671875" style="4" bestFit="1" customWidth="1"/>
    <col min="20" max="20" width="23.21875" style="4" bestFit="1" customWidth="1"/>
    <col min="21" max="21" width="21" style="4" bestFit="1" customWidth="1"/>
    <col min="22" max="22" width="14.88671875" style="4" bestFit="1" customWidth="1"/>
    <col min="23" max="23" width="16.21875" style="4" bestFit="1" customWidth="1"/>
    <col min="24" max="24" width="14.109375" style="4" bestFit="1" customWidth="1"/>
    <col min="25" max="25" width="19.5546875" style="4" bestFit="1" customWidth="1"/>
    <col min="26" max="26" width="20.88671875" style="4" bestFit="1" customWidth="1"/>
    <col min="27" max="27" width="18.77734375" style="4" bestFit="1" customWidth="1"/>
    <col min="28" max="28" width="21.6640625" style="4" bestFit="1" customWidth="1"/>
    <col min="29" max="29" width="23" style="4" bestFit="1" customWidth="1"/>
    <col min="30" max="30" width="20.77734375" style="4" bestFit="1" customWidth="1"/>
    <col min="31" max="31" width="22.6640625" style="4" bestFit="1" customWidth="1"/>
    <col min="32" max="32" width="24" style="4" bestFit="1" customWidth="1"/>
    <col min="33" max="33" width="21.88671875" style="4" bestFit="1" customWidth="1"/>
    <col min="34" max="34" width="8.88671875" style="4"/>
    <col min="35" max="35" width="9" style="4" bestFit="1" customWidth="1"/>
    <col min="36" max="36" width="13.5546875" style="4" bestFit="1" customWidth="1"/>
    <col min="37" max="37" width="14.5546875" style="4" bestFit="1" customWidth="1"/>
    <col min="38" max="38" width="8.33203125" style="4" bestFit="1" customWidth="1"/>
    <col min="39" max="39" width="8.88671875" style="4"/>
    <col min="40" max="40" width="9" style="4" bestFit="1" customWidth="1"/>
    <col min="41" max="41" width="11.33203125" style="4" bestFit="1" customWidth="1"/>
    <col min="42" max="42" width="12.33203125" style="4" bestFit="1" customWidth="1"/>
    <col min="43" max="43" width="8.33203125" style="4" bestFit="1" customWidth="1"/>
    <col min="44" max="44" width="8.88671875" style="4"/>
    <col min="45" max="45" width="9" style="4" bestFit="1" customWidth="1"/>
    <col min="46" max="46" width="10.5546875" style="4" bestFit="1" customWidth="1"/>
    <col min="47" max="47" width="9.6640625" style="4" bestFit="1" customWidth="1"/>
    <col min="48" max="48" width="8.33203125" style="4" bestFit="1" customWidth="1"/>
    <col min="49" max="16384" width="8.88671875" style="4"/>
  </cols>
  <sheetData>
    <row r="1" spans="1:48" s="1" customFormat="1" ht="11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517</v>
      </c>
      <c r="W1" s="1" t="s">
        <v>518</v>
      </c>
      <c r="X1" s="1" t="s">
        <v>519</v>
      </c>
      <c r="Y1" s="1" t="s">
        <v>520</v>
      </c>
      <c r="Z1" s="1" t="s">
        <v>521</v>
      </c>
      <c r="AA1" s="1" t="s">
        <v>522</v>
      </c>
      <c r="AB1" s="1" t="s">
        <v>539</v>
      </c>
      <c r="AC1" s="1" t="s">
        <v>540</v>
      </c>
      <c r="AD1" s="1" t="s">
        <v>541</v>
      </c>
      <c r="AE1" s="1" t="s">
        <v>542</v>
      </c>
      <c r="AF1" s="1" t="s">
        <v>543</v>
      </c>
      <c r="AG1" s="1" t="s">
        <v>544</v>
      </c>
      <c r="AI1" s="34" t="s">
        <v>58</v>
      </c>
      <c r="AJ1" s="34" t="s">
        <v>545</v>
      </c>
      <c r="AK1" s="34" t="s">
        <v>546</v>
      </c>
      <c r="AL1" s="34" t="s">
        <v>547</v>
      </c>
      <c r="AN1" s="34" t="s">
        <v>58</v>
      </c>
      <c r="AO1" s="34" t="s">
        <v>548</v>
      </c>
      <c r="AP1" s="34" t="s">
        <v>549</v>
      </c>
      <c r="AQ1" s="34" t="s">
        <v>547</v>
      </c>
      <c r="AS1" s="34" t="s">
        <v>58</v>
      </c>
      <c r="AT1" s="34" t="s">
        <v>550</v>
      </c>
      <c r="AU1" s="34" t="s">
        <v>551</v>
      </c>
      <c r="AV1" s="34" t="s">
        <v>547</v>
      </c>
    </row>
    <row r="2" spans="1:48" ht="11.25" customHeight="1" x14ac:dyDescent="0.3">
      <c r="A2" s="4" t="s">
        <v>21</v>
      </c>
      <c r="B2" s="4" t="s">
        <v>33</v>
      </c>
      <c r="C2" s="4" t="s">
        <v>34</v>
      </c>
      <c r="D2" s="4" t="s">
        <v>32</v>
      </c>
      <c r="E2" s="4" t="s">
        <v>25</v>
      </c>
      <c r="F2" s="4" t="s">
        <v>25</v>
      </c>
      <c r="G2" s="4" t="s">
        <v>25</v>
      </c>
      <c r="H2" s="4" t="s">
        <v>36</v>
      </c>
      <c r="I2" s="5">
        <v>44440</v>
      </c>
      <c r="J2" s="6">
        <v>609</v>
      </c>
      <c r="K2" s="6">
        <v>609</v>
      </c>
      <c r="L2" s="6">
        <v>206.20699999999999</v>
      </c>
      <c r="M2" s="6">
        <v>206.20699999999999</v>
      </c>
      <c r="N2" s="6">
        <v>206.20699999999999</v>
      </c>
      <c r="O2" s="6">
        <v>206.20699999999999</v>
      </c>
      <c r="P2" s="6">
        <v>0</v>
      </c>
      <c r="Q2" s="4" t="s">
        <v>26</v>
      </c>
      <c r="R2" s="4">
        <v>0</v>
      </c>
      <c r="S2" s="6">
        <v>5</v>
      </c>
      <c r="T2" s="6">
        <v>35</v>
      </c>
      <c r="U2" s="6">
        <v>44</v>
      </c>
      <c r="V2" s="6">
        <f>IF(ISERROR(VLOOKUP($S$2,'TAR FIN'!$A$1:$O$85,15,0)),0,VLOOKUP($S$2,'TAR FIN'!$A$1:$O$85,15,0))</f>
        <v>18.72</v>
      </c>
      <c r="W2" s="6">
        <f>IF(ISERROR(VLOOKUP($T$2,'TAR FIN'!$A$1:$O$85,15,0)),0,VLOOKUP($T$2,'TAR FIN'!$A$1:$O$85,15,0))</f>
        <v>82.94</v>
      </c>
      <c r="X2" s="6">
        <f>IF(ISERROR(VLOOKUP($U$2,'TAR FIN'!$A$1:$O$85,15,0)),0,VLOOKUP($U$2,'TAR FIN'!$A$1:$O$85,15,0))</f>
        <v>310.5</v>
      </c>
      <c r="Y2" s="6">
        <f ca="1">('TUSD BE'!$AM$6+'TUSD BF'!$AM$6+'TUSD CVA'!$AM$6)*1</f>
        <v>18.85947186003559</v>
      </c>
      <c r="Z2" s="6">
        <f ca="1">('TUSD BE'!$AM$7+'TUSD BF'!$AM$7+'TUSD CVA'!$AM$7)*1</f>
        <v>91.42946115697444</v>
      </c>
      <c r="AA2" s="6">
        <f>('TE BE'!$AB$6+'TE BF'!$AB$6+'TE CVA'!$AB$6)*1</f>
        <v>221.79210547670309</v>
      </c>
      <c r="AB2" s="6">
        <f>$K$2*$V$2</f>
        <v>11400.48</v>
      </c>
      <c r="AC2" s="6">
        <f>$M$2*$W$2</f>
        <v>17102.808580000001</v>
      </c>
      <c r="AD2" s="6">
        <f>$O$2*$X$2</f>
        <v>64027.273499999996</v>
      </c>
      <c r="AE2" s="6">
        <f ca="1">$K$2*$Y$2</f>
        <v>11485.418362761675</v>
      </c>
      <c r="AF2" s="6">
        <f ca="1">$M$2*$Z$2</f>
        <v>18853.394896796228</v>
      </c>
      <c r="AG2" s="6">
        <f>$O$2*$AA$2</f>
        <v>45735.084694034515</v>
      </c>
      <c r="AI2" s="35" t="s">
        <v>33</v>
      </c>
      <c r="AJ2" s="36">
        <f>SUMIF($B$2:$B$225,AI2,$AB$2:$AB$225)+SUMIF($B$2:$B$225,AI2,$AC$2:$AC$225)</f>
        <v>2937382.4383200002</v>
      </c>
      <c r="AK2" s="36">
        <f ca="1">SUMIF($B$2:$B$225,AI2,$AE$2:$AE$225)+SUMIF($B$2:$B$225,AI2,$AF$2:$AF$225)</f>
        <v>3042276.2593868235</v>
      </c>
      <c r="AL2" s="37">
        <f t="shared" ref="AL2:AL9" ca="1" si="0">IF(AJ2&lt;&gt;0,AK2/AJ2-1,0)</f>
        <v>3.5709963979636328E-2</v>
      </c>
      <c r="AN2" s="35" t="s">
        <v>33</v>
      </c>
      <c r="AO2" s="36">
        <f>SUMIF($B$2:$B$225,AN2,$AD$2:$AD$225)</f>
        <v>3495488.2155000009</v>
      </c>
      <c r="AP2" s="36">
        <f>SUMIF($B$2:$B$225,AN2,$AG$2:$AG$225)</f>
        <v>2496849.2463276926</v>
      </c>
      <c r="AQ2" s="37">
        <f t="shared" ref="AQ2:AQ9" si="1">IF(AO2&lt;&gt;0,AP2/AO2-1,0)</f>
        <v>-0.28569370216842827</v>
      </c>
      <c r="AS2" s="35" t="s">
        <v>33</v>
      </c>
      <c r="AT2" s="36">
        <f>SUMIF($B$2:$B$225,AS2,$AB$2:$AB$225)+SUMIF($B$2:$B$225,AS2,$AC$2:$AC$225)+SUMIF($B$2:$B$225,AS2,$AD$2:$AD$225)</f>
        <v>6432870.6538200006</v>
      </c>
      <c r="AU2" s="36">
        <f ca="1">SUMIF($B$2:$B$225,AS2,$AE$2:$AE$225)+SUMIF($B$2:$B$225,AS2,$AF$2:$AF$225)+SUMIF($B$2:$B$225,AS2,$AG$2:$AG$225)</f>
        <v>5539125.5057145162</v>
      </c>
      <c r="AV2" s="37">
        <f t="shared" ref="AV2:AV9" ca="1" si="2">IF(AT2&lt;&gt;0,AU2/AT2-1,0)</f>
        <v>-0.138934108301207</v>
      </c>
    </row>
    <row r="3" spans="1:48" ht="11.25" customHeight="1" x14ac:dyDescent="0.3">
      <c r="A3" s="4" t="s">
        <v>21</v>
      </c>
      <c r="B3" s="4" t="s">
        <v>33</v>
      </c>
      <c r="C3" s="4" t="s">
        <v>34</v>
      </c>
      <c r="D3" s="4" t="s">
        <v>32</v>
      </c>
      <c r="E3" s="4" t="s">
        <v>25</v>
      </c>
      <c r="F3" s="4" t="s">
        <v>25</v>
      </c>
      <c r="G3" s="4" t="s">
        <v>25</v>
      </c>
      <c r="H3" s="4" t="s">
        <v>36</v>
      </c>
      <c r="I3" s="5">
        <v>44470</v>
      </c>
      <c r="J3" s="6">
        <v>627</v>
      </c>
      <c r="K3" s="6">
        <v>627</v>
      </c>
      <c r="L3" s="6">
        <v>200.47399999999999</v>
      </c>
      <c r="M3" s="6">
        <v>200.47399999999999</v>
      </c>
      <c r="N3" s="6">
        <v>200.47399999999999</v>
      </c>
      <c r="O3" s="6">
        <v>200.47399999999999</v>
      </c>
      <c r="P3" s="6">
        <v>0</v>
      </c>
      <c r="Q3" s="4" t="s">
        <v>26</v>
      </c>
      <c r="R3" s="4">
        <v>0</v>
      </c>
      <c r="S3" s="6">
        <v>5</v>
      </c>
      <c r="T3" s="6">
        <v>35</v>
      </c>
      <c r="U3" s="6">
        <v>44</v>
      </c>
      <c r="V3" s="6">
        <f>IF(ISERROR(VLOOKUP($S$3,'TAR FIN'!$A$1:$O$85,15,0)),0,VLOOKUP($S$3,'TAR FIN'!$A$1:$O$85,15,0))</f>
        <v>18.72</v>
      </c>
      <c r="W3" s="6">
        <f>IF(ISERROR(VLOOKUP($T$3,'TAR FIN'!$A$1:$O$85,15,0)),0,VLOOKUP($T$3,'TAR FIN'!$A$1:$O$85,15,0))</f>
        <v>82.94</v>
      </c>
      <c r="X3" s="6">
        <f>IF(ISERROR(VLOOKUP($U$3,'TAR FIN'!$A$1:$O$85,15,0)),0,VLOOKUP($U$3,'TAR FIN'!$A$1:$O$85,15,0))</f>
        <v>310.5</v>
      </c>
      <c r="Y3" s="6">
        <f ca="1">('TUSD BE'!$AM$6+'TUSD BF'!$AM$6+'TUSD CVA'!$AM$6)*1</f>
        <v>18.85947186003559</v>
      </c>
      <c r="Z3" s="6">
        <f ca="1">('TUSD BE'!$AM$7+'TUSD BF'!$AM$7+'TUSD CVA'!$AM$7)*1</f>
        <v>91.42946115697444</v>
      </c>
      <c r="AA3" s="6">
        <f>('TE BE'!$AB$6+'TE BF'!$AB$6+'TE CVA'!$AB$6)*1</f>
        <v>221.79210547670309</v>
      </c>
      <c r="AB3" s="6">
        <f>$K$3*$V$3</f>
        <v>11737.439999999999</v>
      </c>
      <c r="AC3" s="6">
        <f>$M$3*$W$3</f>
        <v>16627.313559999999</v>
      </c>
      <c r="AD3" s="6">
        <f>$O$3*$X$3</f>
        <v>62247.176999999996</v>
      </c>
      <c r="AE3" s="6">
        <f ca="1">$K$3*$Y$3</f>
        <v>11824.888856242314</v>
      </c>
      <c r="AF3" s="6">
        <f ca="1">$M$3*$Z$3</f>
        <v>18329.229795983294</v>
      </c>
      <c r="AG3" s="6">
        <f>$O$3*$AA$3</f>
        <v>44463.550553336572</v>
      </c>
      <c r="AI3" s="35" t="s">
        <v>22</v>
      </c>
      <c r="AJ3" s="36">
        <f>SUMIF($B$2:$B$225,AI3,$AB$2:$AB$225)+SUMIF($B$2:$B$225,AI3,$AC$2:$AC$225)</f>
        <v>134257.39887000006</v>
      </c>
      <c r="AK3" s="36">
        <f ca="1">SUMIF($B$2:$B$225,AI3,$AE$2:$AE$225)+SUMIF($B$2:$B$225,AI3,$AF$2:$AF$225)</f>
        <v>137522.1855494066</v>
      </c>
      <c r="AL3" s="37">
        <f t="shared" ca="1" si="0"/>
        <v>2.4317368777327486E-2</v>
      </c>
      <c r="AN3" s="35" t="s">
        <v>22</v>
      </c>
      <c r="AO3" s="36">
        <f>SUMIF($B$2:$B$225,AN3,$AD$2:$AD$225)</f>
        <v>138180.68535000004</v>
      </c>
      <c r="AP3" s="36">
        <f>SUMIF($B$2:$B$225,AN3,$AG$2:$AG$225)</f>
        <v>98703.342248717396</v>
      </c>
      <c r="AQ3" s="37">
        <f t="shared" si="1"/>
        <v>-0.2856936409114621</v>
      </c>
      <c r="AS3" s="35" t="s">
        <v>22</v>
      </c>
      <c r="AT3" s="36">
        <f>SUMIF($B$2:$B$225,AS3,$AB$2:$AB$225)+SUMIF($B$2:$B$225,AS3,$AC$2:$AC$225)+SUMIF($B$2:$B$225,AS3,$AD$2:$AD$225)</f>
        <v>272438.08422000008</v>
      </c>
      <c r="AU3" s="36">
        <f ca="1">SUMIF($B$2:$B$225,AS3,$AE$2:$AE$225)+SUMIF($B$2:$B$225,AS3,$AF$2:$AF$225)+SUMIF($B$2:$B$225,AS3,$AG$2:$AG$225)</f>
        <v>236225.52779812401</v>
      </c>
      <c r="AV3" s="37">
        <f t="shared" ca="1" si="2"/>
        <v>-0.13292031664939175</v>
      </c>
    </row>
    <row r="4" spans="1:48" ht="11.25" customHeight="1" x14ac:dyDescent="0.3">
      <c r="A4" s="4" t="s">
        <v>21</v>
      </c>
      <c r="B4" s="4" t="s">
        <v>33</v>
      </c>
      <c r="C4" s="4" t="s">
        <v>34</v>
      </c>
      <c r="D4" s="4" t="s">
        <v>32</v>
      </c>
      <c r="E4" s="4" t="s">
        <v>25</v>
      </c>
      <c r="F4" s="4" t="s">
        <v>25</v>
      </c>
      <c r="G4" s="4" t="s">
        <v>25</v>
      </c>
      <c r="H4" s="4" t="s">
        <v>36</v>
      </c>
      <c r="I4" s="5">
        <v>44501</v>
      </c>
      <c r="J4" s="6">
        <v>611</v>
      </c>
      <c r="K4" s="6">
        <v>611</v>
      </c>
      <c r="L4" s="6">
        <v>204.06399999999999</v>
      </c>
      <c r="M4" s="6">
        <v>204.06399999999999</v>
      </c>
      <c r="N4" s="6">
        <v>204.06399999999999</v>
      </c>
      <c r="O4" s="6">
        <v>204.06399999999999</v>
      </c>
      <c r="P4" s="6">
        <v>0</v>
      </c>
      <c r="Q4" s="4" t="s">
        <v>26</v>
      </c>
      <c r="R4" s="4">
        <v>0</v>
      </c>
      <c r="S4" s="6">
        <v>5</v>
      </c>
      <c r="T4" s="6">
        <v>35</v>
      </c>
      <c r="U4" s="6">
        <v>44</v>
      </c>
      <c r="V4" s="6">
        <f>IF(ISERROR(VLOOKUP($S$4,'TAR FIN'!$A$1:$O$85,15,0)),0,VLOOKUP($S$4,'TAR FIN'!$A$1:$O$85,15,0))</f>
        <v>18.72</v>
      </c>
      <c r="W4" s="6">
        <f>IF(ISERROR(VLOOKUP($T$4,'TAR FIN'!$A$1:$O$85,15,0)),0,VLOOKUP($T$4,'TAR FIN'!$A$1:$O$85,15,0))</f>
        <v>82.94</v>
      </c>
      <c r="X4" s="6">
        <f>IF(ISERROR(VLOOKUP($U$4,'TAR FIN'!$A$1:$O$85,15,0)),0,VLOOKUP($U$4,'TAR FIN'!$A$1:$O$85,15,0))</f>
        <v>310.5</v>
      </c>
      <c r="Y4" s="6">
        <f ca="1">('TUSD BE'!$AM$6+'TUSD BF'!$AM$6+'TUSD CVA'!$AM$6)*1</f>
        <v>18.85947186003559</v>
      </c>
      <c r="Z4" s="6">
        <f ca="1">('TUSD BE'!$AM$7+'TUSD BF'!$AM$7+'TUSD CVA'!$AM$7)*1</f>
        <v>91.42946115697444</v>
      </c>
      <c r="AA4" s="6">
        <f>('TE BE'!$AB$6+'TE BF'!$AB$6+'TE CVA'!$AB$6)*1</f>
        <v>221.79210547670309</v>
      </c>
      <c r="AB4" s="6">
        <f>$K$4*$V$4</f>
        <v>11437.92</v>
      </c>
      <c r="AC4" s="6">
        <f>$M$4*$W$4</f>
        <v>16925.068159999999</v>
      </c>
      <c r="AD4" s="6">
        <f>$O$4*$X$4</f>
        <v>63361.871999999996</v>
      </c>
      <c r="AE4" s="6">
        <f ca="1">$K$4*$Y$4</f>
        <v>11523.137306481745</v>
      </c>
      <c r="AF4" s="6">
        <f ca="1">$M$4*$Z$4</f>
        <v>18657.461561536831</v>
      </c>
      <c r="AG4" s="6">
        <f>$O$4*$AA$4</f>
        <v>45259.78421199794</v>
      </c>
      <c r="AI4" s="35" t="s">
        <v>39</v>
      </c>
      <c r="AJ4" s="36">
        <f>SUMIF($B$2:$B$225,AI4,$AB$2:$AB$225)+SUMIF($B$2:$B$225,AI4,$AC$2:$AC$225)</f>
        <v>1531925.9729819994</v>
      </c>
      <c r="AK4" s="36">
        <f ca="1">SUMIF($B$2:$B$225,AI4,$AE$2:$AE$225)+SUMIF($B$2:$B$225,AI4,$AF$2:$AF$225)</f>
        <v>1677980.7445096853</v>
      </c>
      <c r="AL4" s="37">
        <f t="shared" ca="1" si="0"/>
        <v>9.5340619653690117E-2</v>
      </c>
      <c r="AN4" s="35" t="s">
        <v>39</v>
      </c>
      <c r="AO4" s="36">
        <f>SUMIF($B$2:$B$225,AN4,$AD$2:$AD$225)</f>
        <v>1566496.4507280001</v>
      </c>
      <c r="AP4" s="36">
        <f>SUMIF($B$2:$B$225,AN4,$AG$2:$AG$225)</f>
        <v>1195250.8903053023</v>
      </c>
      <c r="AQ4" s="37">
        <f t="shared" si="1"/>
        <v>-0.23699100004354834</v>
      </c>
      <c r="AS4" s="35" t="s">
        <v>39</v>
      </c>
      <c r="AT4" s="36">
        <f>SUMIF($B$2:$B$225,AS4,$AB$2:$AB$225)+SUMIF($B$2:$B$225,AS4,$AC$2:$AC$225)+SUMIF($B$2:$B$225,AS4,$AD$2:$AD$225)</f>
        <v>3098422.4237099998</v>
      </c>
      <c r="AU4" s="36">
        <f ca="1">SUMIF($B$2:$B$225,AS4,$AE$2:$AE$225)+SUMIF($B$2:$B$225,AS4,$AF$2:$AF$225)+SUMIF($B$2:$B$225,AS4,$AG$2:$AG$225)</f>
        <v>2873231.6348149879</v>
      </c>
      <c r="AV4" s="37">
        <f t="shared" ca="1" si="2"/>
        <v>-7.2679176077409147E-2</v>
      </c>
    </row>
    <row r="5" spans="1:48" ht="11.25" customHeight="1" x14ac:dyDescent="0.3">
      <c r="A5" s="4" t="s">
        <v>21</v>
      </c>
      <c r="B5" s="4" t="s">
        <v>33</v>
      </c>
      <c r="C5" s="4" t="s">
        <v>34</v>
      </c>
      <c r="D5" s="4" t="s">
        <v>32</v>
      </c>
      <c r="E5" s="4" t="s">
        <v>25</v>
      </c>
      <c r="F5" s="4" t="s">
        <v>25</v>
      </c>
      <c r="G5" s="4" t="s">
        <v>25</v>
      </c>
      <c r="H5" s="4" t="s">
        <v>36</v>
      </c>
      <c r="I5" s="5">
        <v>44531</v>
      </c>
      <c r="J5" s="6">
        <v>749</v>
      </c>
      <c r="K5" s="6">
        <v>749</v>
      </c>
      <c r="L5" s="6">
        <v>229.10900000000001</v>
      </c>
      <c r="M5" s="6">
        <v>229.10900000000001</v>
      </c>
      <c r="N5" s="6">
        <v>229.10900000000001</v>
      </c>
      <c r="O5" s="6">
        <v>229.10900000000001</v>
      </c>
      <c r="P5" s="6">
        <v>0</v>
      </c>
      <c r="Q5" s="4" t="s">
        <v>26</v>
      </c>
      <c r="R5" s="4">
        <v>0</v>
      </c>
      <c r="S5" s="6">
        <v>5</v>
      </c>
      <c r="T5" s="6">
        <v>35</v>
      </c>
      <c r="U5" s="6">
        <v>44</v>
      </c>
      <c r="V5" s="6">
        <f>IF(ISERROR(VLOOKUP($S$5,'TAR FIN'!$A$1:$O$85,15,0)),0,VLOOKUP($S$5,'TAR FIN'!$A$1:$O$85,15,0))</f>
        <v>18.72</v>
      </c>
      <c r="W5" s="6">
        <f>IF(ISERROR(VLOOKUP($T$5,'TAR FIN'!$A$1:$O$85,15,0)),0,VLOOKUP($T$5,'TAR FIN'!$A$1:$O$85,15,0))</f>
        <v>82.94</v>
      </c>
      <c r="X5" s="6">
        <f>IF(ISERROR(VLOOKUP($U$5,'TAR FIN'!$A$1:$O$85,15,0)),0,VLOOKUP($U$5,'TAR FIN'!$A$1:$O$85,15,0))</f>
        <v>310.5</v>
      </c>
      <c r="Y5" s="6">
        <f ca="1">('TUSD BE'!$AM$6+'TUSD BF'!$AM$6+'TUSD CVA'!$AM$6)*1</f>
        <v>18.85947186003559</v>
      </c>
      <c r="Z5" s="6">
        <f ca="1">('TUSD BE'!$AM$7+'TUSD BF'!$AM$7+'TUSD CVA'!$AM$7)*1</f>
        <v>91.42946115697444</v>
      </c>
      <c r="AA5" s="6">
        <f>('TE BE'!$AB$6+'TE BF'!$AB$6+'TE CVA'!$AB$6)*1</f>
        <v>221.79210547670309</v>
      </c>
      <c r="AB5" s="6">
        <f>$K$5*$V$5</f>
        <v>14021.279999999999</v>
      </c>
      <c r="AC5" s="6">
        <f>$M$5*$W$5</f>
        <v>19002.300459999999</v>
      </c>
      <c r="AD5" s="6">
        <f>$O$5*$X$5</f>
        <v>71138.344500000007</v>
      </c>
      <c r="AE5" s="6">
        <f ca="1">$K$5*$Y$5</f>
        <v>14125.744423166658</v>
      </c>
      <c r="AF5" s="6">
        <f ca="1">$M$5*$Z$5</f>
        <v>20947.312416213259</v>
      </c>
      <c r="AG5" s="6">
        <f>$O$5*$AA$5</f>
        <v>50814.567493661969</v>
      </c>
      <c r="AI5" s="35" t="s">
        <v>31</v>
      </c>
      <c r="AJ5" s="36">
        <f>SUMIF($B$2:$B$225,AI5,$AB$2:$AB$225)+SUMIF($B$2:$B$225,AI5,$AC$2:$AC$225)</f>
        <v>97552.839936999982</v>
      </c>
      <c r="AK5" s="36">
        <f ca="1">SUMIF($B$2:$B$225,AI5,$AE$2:$AE$225)+SUMIF($B$2:$B$225,AI5,$AF$2:$AF$225)</f>
        <v>100101.29125140047</v>
      </c>
      <c r="AL5" s="37">
        <f t="shared" ca="1" si="0"/>
        <v>2.612380445352791E-2</v>
      </c>
      <c r="AN5" s="35" t="s">
        <v>31</v>
      </c>
      <c r="AO5" s="36">
        <f>SUMIF($B$2:$B$225,AN5,$AD$2:$AD$225)</f>
        <v>99753.521490000014</v>
      </c>
      <c r="AP5" s="36">
        <f>SUMIF($B$2:$B$225,AN5,$AG$2:$AG$225)</f>
        <v>71303.653442047114</v>
      </c>
      <c r="AQ5" s="37">
        <f t="shared" si="1"/>
        <v>-0.28520164123534142</v>
      </c>
      <c r="AS5" s="35" t="s">
        <v>31</v>
      </c>
      <c r="AT5" s="36">
        <f>SUMIF($B$2:$B$225,AS5,$AB$2:$AB$225)+SUMIF($B$2:$B$225,AS5,$AC$2:$AC$225)+SUMIF($B$2:$B$225,AS5,$AD$2:$AD$225)</f>
        <v>197306.361427</v>
      </c>
      <c r="AU5" s="36">
        <f ca="1">SUMIF($B$2:$B$225,AS5,$AE$2:$AE$225)+SUMIF($B$2:$B$225,AS5,$AF$2:$AF$225)+SUMIF($B$2:$B$225,AS5,$AG$2:$AG$225)</f>
        <v>171404.94469344759</v>
      </c>
      <c r="AV5" s="37">
        <f t="shared" ca="1" si="2"/>
        <v>-0.13127512233372918</v>
      </c>
    </row>
    <row r="6" spans="1:48" ht="11.25" customHeight="1" x14ac:dyDescent="0.3">
      <c r="A6" s="4" t="s">
        <v>21</v>
      </c>
      <c r="B6" s="4" t="s">
        <v>33</v>
      </c>
      <c r="C6" s="4" t="s">
        <v>34</v>
      </c>
      <c r="D6" s="4" t="s">
        <v>32</v>
      </c>
      <c r="E6" s="4" t="s">
        <v>25</v>
      </c>
      <c r="F6" s="4" t="s">
        <v>25</v>
      </c>
      <c r="G6" s="4" t="s">
        <v>25</v>
      </c>
      <c r="H6" s="4" t="s">
        <v>36</v>
      </c>
      <c r="I6" s="5">
        <v>44562</v>
      </c>
      <c r="J6" s="6">
        <v>715</v>
      </c>
      <c r="K6" s="6">
        <v>715</v>
      </c>
      <c r="L6" s="6">
        <v>235.41499999999999</v>
      </c>
      <c r="M6" s="6">
        <v>235.41499999999999</v>
      </c>
      <c r="N6" s="6">
        <v>235.41499999999999</v>
      </c>
      <c r="O6" s="6">
        <v>235.41499999999999</v>
      </c>
      <c r="P6" s="6">
        <v>0</v>
      </c>
      <c r="Q6" s="4" t="s">
        <v>26</v>
      </c>
      <c r="R6" s="4">
        <v>0</v>
      </c>
      <c r="S6" s="6">
        <v>5</v>
      </c>
      <c r="T6" s="6">
        <v>35</v>
      </c>
      <c r="U6" s="6">
        <v>44</v>
      </c>
      <c r="V6" s="6">
        <f>IF(ISERROR(VLOOKUP($S$6,'TAR FIN'!$A$1:$O$85,15,0)),0,VLOOKUP($S$6,'TAR FIN'!$A$1:$O$85,15,0))</f>
        <v>18.72</v>
      </c>
      <c r="W6" s="6">
        <f>IF(ISERROR(VLOOKUP($T$6,'TAR FIN'!$A$1:$O$85,15,0)),0,VLOOKUP($T$6,'TAR FIN'!$A$1:$O$85,15,0))</f>
        <v>82.94</v>
      </c>
      <c r="X6" s="6">
        <f>IF(ISERROR(VLOOKUP($U$6,'TAR FIN'!$A$1:$O$85,15,0)),0,VLOOKUP($U$6,'TAR FIN'!$A$1:$O$85,15,0))</f>
        <v>310.5</v>
      </c>
      <c r="Y6" s="6">
        <f ca="1">('TUSD BE'!$AM$6+'TUSD BF'!$AM$6+'TUSD CVA'!$AM$6)*1</f>
        <v>18.85947186003559</v>
      </c>
      <c r="Z6" s="6">
        <f ca="1">('TUSD BE'!$AM$7+'TUSD BF'!$AM$7+'TUSD CVA'!$AM$7)*1</f>
        <v>91.42946115697444</v>
      </c>
      <c r="AA6" s="6">
        <f>('TE BE'!$AB$6+'TE BF'!$AB$6+'TE CVA'!$AB$6)*1</f>
        <v>221.79210547670309</v>
      </c>
      <c r="AB6" s="6">
        <f>$K$6*$V$6</f>
        <v>13384.8</v>
      </c>
      <c r="AC6" s="6">
        <f>$M$6*$W$6</f>
        <v>19525.320099999997</v>
      </c>
      <c r="AD6" s="6">
        <f>$O$6*$X$6</f>
        <v>73096.357499999998</v>
      </c>
      <c r="AE6" s="6">
        <f ca="1">$K$6*$Y$6</f>
        <v>13484.522379925447</v>
      </c>
      <c r="AF6" s="6">
        <f ca="1">$M$6*$Z$6</f>
        <v>21523.866598269138</v>
      </c>
      <c r="AG6" s="6">
        <f>$O$6*$AA$6</f>
        <v>52213.188510798056</v>
      </c>
      <c r="AI6" s="35" t="s">
        <v>43</v>
      </c>
      <c r="AJ6" s="36">
        <f>SUMIF($B$2:$B$225,AI6,$AB$2:$AB$225)+SUMIF($B$2:$B$225,AI6,$AC$2:$AC$225)</f>
        <v>41696.384639999997</v>
      </c>
      <c r="AK6" s="36">
        <f ca="1">SUMIF($B$2:$B$225,AI6,$AE$2:$AE$225)+SUMIF($B$2:$B$225,AI6,$AF$2:$AF$225)</f>
        <v>42755.5595453274</v>
      </c>
      <c r="AL6" s="37">
        <f t="shared" ca="1" si="0"/>
        <v>2.5402080167672869E-2</v>
      </c>
      <c r="AN6" s="35" t="s">
        <v>43</v>
      </c>
      <c r="AO6" s="36">
        <f>SUMIF($B$2:$B$225,AN6,$AD$2:$AD$225)</f>
        <v>42635.121280000014</v>
      </c>
      <c r="AP6" s="36">
        <f>SUMIF($B$2:$B$225,AN6,$AG$2:$AG$225)</f>
        <v>30455.427321954587</v>
      </c>
      <c r="AQ6" s="37">
        <f t="shared" si="1"/>
        <v>-0.28567278788905148</v>
      </c>
      <c r="AS6" s="35" t="s">
        <v>43</v>
      </c>
      <c r="AT6" s="36">
        <f>SUMIF($B$2:$B$225,AS6,$AB$2:$AB$225)+SUMIF($B$2:$B$225,AS6,$AC$2:$AC$225)+SUMIF($B$2:$B$225,AS6,$AD$2:$AD$225)</f>
        <v>84331.505920000011</v>
      </c>
      <c r="AU6" s="36">
        <f ca="1">SUMIF($B$2:$B$225,AS6,$AE$2:$AE$225)+SUMIF($B$2:$B$225,AS6,$AF$2:$AF$225)+SUMIF($B$2:$B$225,AS6,$AG$2:$AG$225)</f>
        <v>73210.986867281987</v>
      </c>
      <c r="AV6" s="37">
        <f t="shared" ca="1" si="2"/>
        <v>-0.13186671969628239</v>
      </c>
    </row>
    <row r="7" spans="1:48" ht="11.25" customHeight="1" x14ac:dyDescent="0.3">
      <c r="A7" s="4" t="s">
        <v>21</v>
      </c>
      <c r="B7" s="4" t="s">
        <v>33</v>
      </c>
      <c r="C7" s="4" t="s">
        <v>34</v>
      </c>
      <c r="D7" s="4" t="s">
        <v>32</v>
      </c>
      <c r="E7" s="4" t="s">
        <v>25</v>
      </c>
      <c r="F7" s="4" t="s">
        <v>25</v>
      </c>
      <c r="G7" s="4" t="s">
        <v>25</v>
      </c>
      <c r="H7" s="4" t="s">
        <v>36</v>
      </c>
      <c r="I7" s="5">
        <v>44593</v>
      </c>
      <c r="J7" s="6">
        <v>715</v>
      </c>
      <c r="K7" s="6">
        <v>715</v>
      </c>
      <c r="L7" s="6">
        <v>181.595</v>
      </c>
      <c r="M7" s="6">
        <v>181.595</v>
      </c>
      <c r="N7" s="6">
        <v>181.595</v>
      </c>
      <c r="O7" s="6">
        <v>181.595</v>
      </c>
      <c r="P7" s="6">
        <v>0</v>
      </c>
      <c r="Q7" s="4" t="s">
        <v>26</v>
      </c>
      <c r="R7" s="4">
        <v>0</v>
      </c>
      <c r="S7" s="6">
        <v>5</v>
      </c>
      <c r="T7" s="6">
        <v>35</v>
      </c>
      <c r="U7" s="6">
        <v>44</v>
      </c>
      <c r="V7" s="6">
        <f>IF(ISERROR(VLOOKUP($S$7,'TAR FIN'!$A$1:$O$85,15,0)),0,VLOOKUP($S$7,'TAR FIN'!$A$1:$O$85,15,0))</f>
        <v>18.72</v>
      </c>
      <c r="W7" s="6">
        <f>IF(ISERROR(VLOOKUP($T$7,'TAR FIN'!$A$1:$O$85,15,0)),0,VLOOKUP($T$7,'TAR FIN'!$A$1:$O$85,15,0))</f>
        <v>82.94</v>
      </c>
      <c r="X7" s="6">
        <f>IF(ISERROR(VLOOKUP($U$7,'TAR FIN'!$A$1:$O$85,15,0)),0,VLOOKUP($U$7,'TAR FIN'!$A$1:$O$85,15,0))</f>
        <v>310.5</v>
      </c>
      <c r="Y7" s="6">
        <f ca="1">('TUSD BE'!$AM$6+'TUSD BF'!$AM$6+'TUSD CVA'!$AM$6)*1</f>
        <v>18.85947186003559</v>
      </c>
      <c r="Z7" s="6">
        <f ca="1">('TUSD BE'!$AM$7+'TUSD BF'!$AM$7+'TUSD CVA'!$AM$7)*1</f>
        <v>91.42946115697444</v>
      </c>
      <c r="AA7" s="6">
        <f>('TE BE'!$AB$6+'TE BF'!$AB$6+'TE CVA'!$AB$6)*1</f>
        <v>221.79210547670309</v>
      </c>
      <c r="AB7" s="6">
        <f>$K$7*$V$7</f>
        <v>13384.8</v>
      </c>
      <c r="AC7" s="6">
        <f>$M$7*$W$7</f>
        <v>15061.489299999999</v>
      </c>
      <c r="AD7" s="6">
        <f>$O$7*$X$7</f>
        <v>56385.247499999998</v>
      </c>
      <c r="AE7" s="6">
        <f ca="1">$K$7*$Y$7</f>
        <v>13484.522379925447</v>
      </c>
      <c r="AF7" s="6">
        <f ca="1">$M$7*$Z$7</f>
        <v>16603.132998800775</v>
      </c>
      <c r="AG7" s="6">
        <f>$O$7*$AA$7</f>
        <v>40276.337394041897</v>
      </c>
      <c r="AI7" s="35" t="s">
        <v>552</v>
      </c>
      <c r="AJ7" s="36">
        <f>+$AJ$2</f>
        <v>2937382.4383200002</v>
      </c>
      <c r="AK7" s="36">
        <f ca="1">+$AK$2</f>
        <v>3042276.2593868235</v>
      </c>
      <c r="AL7" s="37">
        <f t="shared" ca="1" si="0"/>
        <v>3.5709963979636328E-2</v>
      </c>
      <c r="AN7" s="35" t="s">
        <v>552</v>
      </c>
      <c r="AO7" s="36">
        <f>+$AO$2</f>
        <v>3495488.2155000009</v>
      </c>
      <c r="AP7" s="36">
        <f>+$AP$2</f>
        <v>2496849.2463276926</v>
      </c>
      <c r="AQ7" s="37">
        <f t="shared" si="1"/>
        <v>-0.28569370216842827</v>
      </c>
      <c r="AS7" s="35" t="s">
        <v>552</v>
      </c>
      <c r="AT7" s="36">
        <f>+$AT$2</f>
        <v>6432870.6538200006</v>
      </c>
      <c r="AU7" s="36">
        <f ca="1">+$AU$2</f>
        <v>5539125.5057145162</v>
      </c>
      <c r="AV7" s="37">
        <f t="shared" ca="1" si="2"/>
        <v>-0.138934108301207</v>
      </c>
    </row>
    <row r="8" spans="1:48" ht="11.25" customHeight="1" x14ac:dyDescent="0.3">
      <c r="A8" s="4" t="s">
        <v>21</v>
      </c>
      <c r="B8" s="4" t="s">
        <v>33</v>
      </c>
      <c r="C8" s="4" t="s">
        <v>34</v>
      </c>
      <c r="D8" s="4" t="s">
        <v>32</v>
      </c>
      <c r="E8" s="4" t="s">
        <v>25</v>
      </c>
      <c r="F8" s="4" t="s">
        <v>25</v>
      </c>
      <c r="G8" s="4" t="s">
        <v>25</v>
      </c>
      <c r="H8" s="4" t="s">
        <v>36</v>
      </c>
      <c r="I8" s="5">
        <v>44621</v>
      </c>
      <c r="J8" s="6">
        <v>727</v>
      </c>
      <c r="K8" s="6">
        <v>727</v>
      </c>
      <c r="L8" s="6">
        <v>251.02199999999999</v>
      </c>
      <c r="M8" s="6">
        <v>251.02199999999999</v>
      </c>
      <c r="N8" s="6">
        <v>251.02199999999999</v>
      </c>
      <c r="O8" s="6">
        <v>251.02199999999999</v>
      </c>
      <c r="P8" s="6">
        <v>0</v>
      </c>
      <c r="Q8" s="4" t="s">
        <v>26</v>
      </c>
      <c r="R8" s="4">
        <v>0</v>
      </c>
      <c r="S8" s="6">
        <v>5</v>
      </c>
      <c r="T8" s="6">
        <v>35</v>
      </c>
      <c r="U8" s="6">
        <v>44</v>
      </c>
      <c r="V8" s="6">
        <f>IF(ISERROR(VLOOKUP($S$8,'TAR FIN'!$A$1:$O$85,15,0)),0,VLOOKUP($S$8,'TAR FIN'!$A$1:$O$85,15,0))</f>
        <v>18.72</v>
      </c>
      <c r="W8" s="6">
        <f>IF(ISERROR(VLOOKUP($T$8,'TAR FIN'!$A$1:$O$85,15,0)),0,VLOOKUP($T$8,'TAR FIN'!$A$1:$O$85,15,0))</f>
        <v>82.94</v>
      </c>
      <c r="X8" s="6">
        <f>IF(ISERROR(VLOOKUP($U$8,'TAR FIN'!$A$1:$O$85,15,0)),0,VLOOKUP($U$8,'TAR FIN'!$A$1:$O$85,15,0))</f>
        <v>310.5</v>
      </c>
      <c r="Y8" s="6">
        <f ca="1">('TUSD BE'!$AM$6+'TUSD BF'!$AM$6+'TUSD CVA'!$AM$6)*1</f>
        <v>18.85947186003559</v>
      </c>
      <c r="Z8" s="6">
        <f ca="1">('TUSD BE'!$AM$7+'TUSD BF'!$AM$7+'TUSD CVA'!$AM$7)*1</f>
        <v>91.42946115697444</v>
      </c>
      <c r="AA8" s="6">
        <f>('TE BE'!$AB$6+'TE BF'!$AB$6+'TE CVA'!$AB$6)*1</f>
        <v>221.79210547670309</v>
      </c>
      <c r="AB8" s="6">
        <f>$K$8*$V$8</f>
        <v>13609.439999999999</v>
      </c>
      <c r="AC8" s="6">
        <f>$M$8*$W$8</f>
        <v>20819.76468</v>
      </c>
      <c r="AD8" s="6">
        <f>$O$8*$X$8</f>
        <v>77942.330999999991</v>
      </c>
      <c r="AE8" s="6">
        <f ca="1">$K$8*$Y$8</f>
        <v>13710.836042245874</v>
      </c>
      <c r="AF8" s="6">
        <f ca="1">$M$8*$Z$8</f>
        <v>22950.806198546037</v>
      </c>
      <c r="AG8" s="6">
        <f>$O$8*$AA$8</f>
        <v>55674.697900972962</v>
      </c>
      <c r="AI8" s="35" t="s">
        <v>77</v>
      </c>
      <c r="AJ8" s="36">
        <f>+$AJ$3+$AJ$4+$AJ$5+$AJ$6</f>
        <v>1805432.5964289997</v>
      </c>
      <c r="AK8" s="36">
        <f ca="1">+$AK$3+$AK$4+$AK$5+$AK$6</f>
        <v>1958359.7808558198</v>
      </c>
      <c r="AL8" s="37">
        <f t="shared" ca="1" si="0"/>
        <v>8.4703901286205863E-2</v>
      </c>
      <c r="AN8" s="35" t="s">
        <v>77</v>
      </c>
      <c r="AO8" s="36">
        <f>+$AO$3+$AO$4+$AO$5+$AO$6</f>
        <v>1847065.7788480001</v>
      </c>
      <c r="AP8" s="36">
        <f>+$AP$3+$AP$4+$AP$5+$AP$6</f>
        <v>1395713.3133180214</v>
      </c>
      <c r="AQ8" s="37">
        <f t="shared" si="1"/>
        <v>-0.24436187963564759</v>
      </c>
      <c r="AS8" s="35" t="s">
        <v>77</v>
      </c>
      <c r="AT8" s="36">
        <f>+$AT$3+$AT$4+$AT$5+$AT$6</f>
        <v>3652498.3752769995</v>
      </c>
      <c r="AU8" s="36">
        <f ca="1">+$AU$3+$AU$4+$AU$5+$AU$6</f>
        <v>3354073.0941738416</v>
      </c>
      <c r="AV8" s="37">
        <f t="shared" ca="1" si="2"/>
        <v>-8.1704425421003979E-2</v>
      </c>
    </row>
    <row r="9" spans="1:48" ht="11.25" customHeight="1" x14ac:dyDescent="0.3">
      <c r="A9" s="4" t="s">
        <v>21</v>
      </c>
      <c r="B9" s="4" t="s">
        <v>33</v>
      </c>
      <c r="C9" s="4" t="s">
        <v>34</v>
      </c>
      <c r="D9" s="4" t="s">
        <v>32</v>
      </c>
      <c r="E9" s="4" t="s">
        <v>25</v>
      </c>
      <c r="F9" s="4" t="s">
        <v>25</v>
      </c>
      <c r="G9" s="4" t="s">
        <v>25</v>
      </c>
      <c r="H9" s="4" t="s">
        <v>36</v>
      </c>
      <c r="I9" s="5">
        <v>44652</v>
      </c>
      <c r="J9" s="6">
        <v>715</v>
      </c>
      <c r="K9" s="6">
        <v>715</v>
      </c>
      <c r="L9" s="6">
        <v>230.482</v>
      </c>
      <c r="M9" s="6">
        <v>230.482</v>
      </c>
      <c r="N9" s="6">
        <v>230.482</v>
      </c>
      <c r="O9" s="6">
        <v>230.482</v>
      </c>
      <c r="P9" s="6">
        <v>0</v>
      </c>
      <c r="Q9" s="4" t="s">
        <v>26</v>
      </c>
      <c r="R9" s="4">
        <v>0</v>
      </c>
      <c r="S9" s="6">
        <v>5</v>
      </c>
      <c r="T9" s="6">
        <v>35</v>
      </c>
      <c r="U9" s="6">
        <v>44</v>
      </c>
      <c r="V9" s="6">
        <f>IF(ISERROR(VLOOKUP($S$9,'TAR FIN'!$A$1:$O$85,15,0)),0,VLOOKUP($S$9,'TAR FIN'!$A$1:$O$85,15,0))</f>
        <v>18.72</v>
      </c>
      <c r="W9" s="6">
        <f>IF(ISERROR(VLOOKUP($T$9,'TAR FIN'!$A$1:$O$85,15,0)),0,VLOOKUP($T$9,'TAR FIN'!$A$1:$O$85,15,0))</f>
        <v>82.94</v>
      </c>
      <c r="X9" s="6">
        <f>IF(ISERROR(VLOOKUP($U$9,'TAR FIN'!$A$1:$O$85,15,0)),0,VLOOKUP($U$9,'TAR FIN'!$A$1:$O$85,15,0))</f>
        <v>310.5</v>
      </c>
      <c r="Y9" s="6">
        <f ca="1">('TUSD BE'!$AM$6+'TUSD BF'!$AM$6+'TUSD CVA'!$AM$6)*1</f>
        <v>18.85947186003559</v>
      </c>
      <c r="Z9" s="6">
        <f ca="1">('TUSD BE'!$AM$7+'TUSD BF'!$AM$7+'TUSD CVA'!$AM$7)*1</f>
        <v>91.42946115697444</v>
      </c>
      <c r="AA9" s="6">
        <f>('TE BE'!$AB$6+'TE BF'!$AB$6+'TE CVA'!$AB$6)*1</f>
        <v>221.79210547670309</v>
      </c>
      <c r="AB9" s="6">
        <f>$K$9*$V$9</f>
        <v>13384.8</v>
      </c>
      <c r="AC9" s="6">
        <f>$M$9*$W$9</f>
        <v>19116.177079999998</v>
      </c>
      <c r="AD9" s="6">
        <f>$O$9*$X$9</f>
        <v>71564.660999999993</v>
      </c>
      <c r="AE9" s="6">
        <f ca="1">$K$9*$Y$9</f>
        <v>13484.522379925447</v>
      </c>
      <c r="AF9" s="6">
        <f ca="1">$M$9*$Z$9</f>
        <v>21072.845066381782</v>
      </c>
      <c r="AG9" s="6">
        <f>$O$9*$AA$9</f>
        <v>51119.088054481479</v>
      </c>
      <c r="AI9" s="35" t="s">
        <v>553</v>
      </c>
      <c r="AJ9" s="36">
        <f>AJ8+AJ7</f>
        <v>4742815.0347489994</v>
      </c>
      <c r="AK9" s="36">
        <f ca="1">AK8+AK7</f>
        <v>5000636.0402426431</v>
      </c>
      <c r="AL9" s="37">
        <f t="shared" ca="1" si="0"/>
        <v>5.4360333178645304E-2</v>
      </c>
      <c r="AN9" s="35" t="s">
        <v>553</v>
      </c>
      <c r="AO9" s="36">
        <f>AO8+AO7</f>
        <v>5342553.9943480007</v>
      </c>
      <c r="AP9" s="36">
        <f>AP8+AP7</f>
        <v>3892562.5596457142</v>
      </c>
      <c r="AQ9" s="37">
        <f t="shared" si="1"/>
        <v>-0.27140417040918308</v>
      </c>
      <c r="AS9" s="35" t="s">
        <v>553</v>
      </c>
      <c r="AT9" s="36">
        <f>AT8+AT7</f>
        <v>10085369.029097</v>
      </c>
      <c r="AU9" s="36">
        <f ca="1">AU8+AU7</f>
        <v>8893198.5998883583</v>
      </c>
      <c r="AV9" s="37">
        <f t="shared" ca="1" si="2"/>
        <v>-0.11820791344066306</v>
      </c>
    </row>
    <row r="10" spans="1:48" ht="11.25" customHeight="1" x14ac:dyDescent="0.3">
      <c r="A10" s="4" t="s">
        <v>21</v>
      </c>
      <c r="B10" s="4" t="s">
        <v>33</v>
      </c>
      <c r="C10" s="4" t="s">
        <v>34</v>
      </c>
      <c r="D10" s="4" t="s">
        <v>32</v>
      </c>
      <c r="E10" s="4" t="s">
        <v>25</v>
      </c>
      <c r="F10" s="4" t="s">
        <v>25</v>
      </c>
      <c r="G10" s="4" t="s">
        <v>25</v>
      </c>
      <c r="H10" s="4" t="s">
        <v>36</v>
      </c>
      <c r="I10" s="5">
        <v>44682</v>
      </c>
      <c r="J10" s="6">
        <v>715</v>
      </c>
      <c r="K10" s="6">
        <v>715</v>
      </c>
      <c r="L10" s="6">
        <v>240.447</v>
      </c>
      <c r="M10" s="6">
        <v>240.447</v>
      </c>
      <c r="N10" s="6">
        <v>240.447</v>
      </c>
      <c r="O10" s="6">
        <v>240.447</v>
      </c>
      <c r="P10" s="6">
        <v>0</v>
      </c>
      <c r="Q10" s="4" t="s">
        <v>26</v>
      </c>
      <c r="R10" s="4">
        <v>0</v>
      </c>
      <c r="S10" s="6">
        <v>5</v>
      </c>
      <c r="T10" s="6">
        <v>35</v>
      </c>
      <c r="U10" s="6">
        <v>44</v>
      </c>
      <c r="V10" s="6">
        <f>IF(ISERROR(VLOOKUP($S$10,'TAR FIN'!$A$1:$O$85,15,0)),0,VLOOKUP($S$10,'TAR FIN'!$A$1:$O$85,15,0))</f>
        <v>18.72</v>
      </c>
      <c r="W10" s="6">
        <f>IF(ISERROR(VLOOKUP($T$10,'TAR FIN'!$A$1:$O$85,15,0)),0,VLOOKUP($T$10,'TAR FIN'!$A$1:$O$85,15,0))</f>
        <v>82.94</v>
      </c>
      <c r="X10" s="6">
        <f>IF(ISERROR(VLOOKUP($U$10,'TAR FIN'!$A$1:$O$85,15,0)),0,VLOOKUP($U$10,'TAR FIN'!$A$1:$O$85,15,0))</f>
        <v>310.5</v>
      </c>
      <c r="Y10" s="6">
        <f ca="1">('TUSD BE'!$AM$6+'TUSD BF'!$AM$6+'TUSD CVA'!$AM$6)*1</f>
        <v>18.85947186003559</v>
      </c>
      <c r="Z10" s="6">
        <f ca="1">('TUSD BE'!$AM$7+'TUSD BF'!$AM$7+'TUSD CVA'!$AM$7)*1</f>
        <v>91.42946115697444</v>
      </c>
      <c r="AA10" s="6">
        <f>('TE BE'!$AB$6+'TE BF'!$AB$6+'TE CVA'!$AB$6)*1</f>
        <v>221.79210547670309</v>
      </c>
      <c r="AB10" s="6">
        <f>$K$10*$V$10</f>
        <v>13384.8</v>
      </c>
      <c r="AC10" s="6">
        <f>$M$10*$W$10</f>
        <v>19942.674179999998</v>
      </c>
      <c r="AD10" s="6">
        <f>$O$10*$X$10</f>
        <v>74658.7935</v>
      </c>
      <c r="AE10" s="6">
        <f ca="1">$K$10*$Y$10</f>
        <v>13484.522379925447</v>
      </c>
      <c r="AF10" s="6">
        <f ca="1">$M$10*$Z$10</f>
        <v>21983.939646811035</v>
      </c>
      <c r="AG10" s="6">
        <f>$O$10*$AA$10</f>
        <v>53329.246385556828</v>
      </c>
    </row>
    <row r="11" spans="1:48" ht="11.25" customHeight="1" x14ac:dyDescent="0.3">
      <c r="A11" s="4" t="s">
        <v>21</v>
      </c>
      <c r="B11" s="4" t="s">
        <v>33</v>
      </c>
      <c r="C11" s="4" t="s">
        <v>34</v>
      </c>
      <c r="D11" s="4" t="s">
        <v>32</v>
      </c>
      <c r="E11" s="4" t="s">
        <v>25</v>
      </c>
      <c r="F11" s="4" t="s">
        <v>25</v>
      </c>
      <c r="G11" s="4" t="s">
        <v>25</v>
      </c>
      <c r="H11" s="4" t="s">
        <v>36</v>
      </c>
      <c r="I11" s="5">
        <v>44713</v>
      </c>
      <c r="J11" s="6">
        <v>715</v>
      </c>
      <c r="K11" s="6">
        <v>715</v>
      </c>
      <c r="L11" s="6">
        <v>224.15799999999999</v>
      </c>
      <c r="M11" s="6">
        <v>224.15799999999999</v>
      </c>
      <c r="N11" s="6">
        <v>224.15799999999999</v>
      </c>
      <c r="O11" s="6">
        <v>224.15799999999999</v>
      </c>
      <c r="P11" s="6">
        <v>0</v>
      </c>
      <c r="Q11" s="4" t="s">
        <v>26</v>
      </c>
      <c r="R11" s="4">
        <v>0</v>
      </c>
      <c r="S11" s="6">
        <v>5</v>
      </c>
      <c r="T11" s="6">
        <v>35</v>
      </c>
      <c r="U11" s="6">
        <v>44</v>
      </c>
      <c r="V11" s="6">
        <f>IF(ISERROR(VLOOKUP($S$11,'TAR FIN'!$A$1:$O$85,15,0)),0,VLOOKUP($S$11,'TAR FIN'!$A$1:$O$85,15,0))</f>
        <v>18.72</v>
      </c>
      <c r="W11" s="6">
        <f>IF(ISERROR(VLOOKUP($T$11,'TAR FIN'!$A$1:$O$85,15,0)),0,VLOOKUP($T$11,'TAR FIN'!$A$1:$O$85,15,0))</f>
        <v>82.94</v>
      </c>
      <c r="X11" s="6">
        <f>IF(ISERROR(VLOOKUP($U$11,'TAR FIN'!$A$1:$O$85,15,0)),0,VLOOKUP($U$11,'TAR FIN'!$A$1:$O$85,15,0))</f>
        <v>310.5</v>
      </c>
      <c r="Y11" s="6">
        <f ca="1">('TUSD BE'!$AM$6+'TUSD BF'!$AM$6+'TUSD CVA'!$AM$6)*1</f>
        <v>18.85947186003559</v>
      </c>
      <c r="Z11" s="6">
        <f ca="1">('TUSD BE'!$AM$7+'TUSD BF'!$AM$7+'TUSD CVA'!$AM$7)*1</f>
        <v>91.42946115697444</v>
      </c>
      <c r="AA11" s="6">
        <f>('TE BE'!$AB$6+'TE BF'!$AB$6+'TE CVA'!$AB$6)*1</f>
        <v>221.79210547670309</v>
      </c>
      <c r="AB11" s="6">
        <f>$K$11*$V$11</f>
        <v>13384.8</v>
      </c>
      <c r="AC11" s="6">
        <f>$M$11*$W$11</f>
        <v>18591.664519999998</v>
      </c>
      <c r="AD11" s="6">
        <f>$O$11*$X$11</f>
        <v>69601.058999999994</v>
      </c>
      <c r="AE11" s="6">
        <f ca="1">$K$11*$Y$11</f>
        <v>13484.522379925447</v>
      </c>
      <c r="AF11" s="6">
        <f ca="1">$M$11*$Z$11</f>
        <v>20494.645154025075</v>
      </c>
      <c r="AG11" s="6">
        <f>$O$11*$AA$11</f>
        <v>49716.474779446806</v>
      </c>
    </row>
    <row r="12" spans="1:48" ht="11.25" customHeight="1" x14ac:dyDescent="0.3">
      <c r="A12" s="4" t="s">
        <v>21</v>
      </c>
      <c r="B12" s="4" t="s">
        <v>33</v>
      </c>
      <c r="C12" s="4" t="s">
        <v>34</v>
      </c>
      <c r="D12" s="4" t="s">
        <v>32</v>
      </c>
      <c r="E12" s="4" t="s">
        <v>25</v>
      </c>
      <c r="F12" s="4" t="s">
        <v>25</v>
      </c>
      <c r="G12" s="4" t="s">
        <v>25</v>
      </c>
      <c r="H12" s="4" t="s">
        <v>36</v>
      </c>
      <c r="I12" s="5">
        <v>44743</v>
      </c>
      <c r="J12" s="6">
        <v>715</v>
      </c>
      <c r="K12" s="6">
        <v>715</v>
      </c>
      <c r="L12" s="6">
        <v>219.958</v>
      </c>
      <c r="M12" s="6">
        <v>219.958</v>
      </c>
      <c r="N12" s="6">
        <v>219.958</v>
      </c>
      <c r="O12" s="6">
        <v>219.958</v>
      </c>
      <c r="P12" s="6">
        <v>0</v>
      </c>
      <c r="Q12" s="4" t="s">
        <v>26</v>
      </c>
      <c r="R12" s="4">
        <v>0</v>
      </c>
      <c r="S12" s="6">
        <v>5</v>
      </c>
      <c r="T12" s="6">
        <v>35</v>
      </c>
      <c r="U12" s="6">
        <v>44</v>
      </c>
      <c r="V12" s="6">
        <f>IF(ISERROR(VLOOKUP($S$12,'TAR FIN'!$A$1:$O$85,15,0)),0,VLOOKUP($S$12,'TAR FIN'!$A$1:$O$85,15,0))</f>
        <v>18.72</v>
      </c>
      <c r="W12" s="6">
        <f>IF(ISERROR(VLOOKUP($T$12,'TAR FIN'!$A$1:$O$85,15,0)),0,VLOOKUP($T$12,'TAR FIN'!$A$1:$O$85,15,0))</f>
        <v>82.94</v>
      </c>
      <c r="X12" s="6">
        <f>IF(ISERROR(VLOOKUP($U$12,'TAR FIN'!$A$1:$O$85,15,0)),0,VLOOKUP($U$12,'TAR FIN'!$A$1:$O$85,15,0))</f>
        <v>310.5</v>
      </c>
      <c r="Y12" s="6">
        <f ca="1">('TUSD BE'!$AM$6+'TUSD BF'!$AM$6+'TUSD CVA'!$AM$6)*1</f>
        <v>18.85947186003559</v>
      </c>
      <c r="Z12" s="6">
        <f ca="1">('TUSD BE'!$AM$7+'TUSD BF'!$AM$7+'TUSD CVA'!$AM$7)*1</f>
        <v>91.42946115697444</v>
      </c>
      <c r="AA12" s="6">
        <f>('TE BE'!$AB$6+'TE BF'!$AB$6+'TE CVA'!$AB$6)*1</f>
        <v>221.79210547670309</v>
      </c>
      <c r="AB12" s="6">
        <f>$K$12*$V$12</f>
        <v>13384.8</v>
      </c>
      <c r="AC12" s="6">
        <f>$M$12*$W$12</f>
        <v>18243.31652</v>
      </c>
      <c r="AD12" s="6">
        <f>$O$12*$X$12</f>
        <v>68296.959000000003</v>
      </c>
      <c r="AE12" s="6">
        <f ca="1">$K$12*$Y$12</f>
        <v>13484.522379925447</v>
      </c>
      <c r="AF12" s="6">
        <f ca="1">$M$12*$Z$12</f>
        <v>20110.641417165785</v>
      </c>
      <c r="AG12" s="6">
        <f>$O$12*$AA$12</f>
        <v>48784.94793644466</v>
      </c>
      <c r="AU12" s="61">
        <f ca="1">AU9+SUBSIDIO!AJ12-CUSTOS!H49</f>
        <v>-8.9406967163085938E-8</v>
      </c>
    </row>
    <row r="13" spans="1:48" ht="11.25" customHeight="1" x14ac:dyDescent="0.3">
      <c r="A13" s="4" t="s">
        <v>21</v>
      </c>
      <c r="B13" s="4" t="s">
        <v>33</v>
      </c>
      <c r="C13" s="4" t="s">
        <v>34</v>
      </c>
      <c r="D13" s="4" t="s">
        <v>32</v>
      </c>
      <c r="E13" s="4" t="s">
        <v>25</v>
      </c>
      <c r="F13" s="4" t="s">
        <v>25</v>
      </c>
      <c r="G13" s="4" t="s">
        <v>25</v>
      </c>
      <c r="H13" s="4" t="s">
        <v>36</v>
      </c>
      <c r="I13" s="5">
        <v>44774</v>
      </c>
      <c r="J13" s="6">
        <v>715</v>
      </c>
      <c r="K13" s="6">
        <v>715</v>
      </c>
      <c r="L13" s="6">
        <v>214.732</v>
      </c>
      <c r="M13" s="6">
        <v>214.732</v>
      </c>
      <c r="N13" s="6">
        <v>214.732</v>
      </c>
      <c r="O13" s="6">
        <v>214.732</v>
      </c>
      <c r="P13" s="6">
        <v>0</v>
      </c>
      <c r="Q13" s="4" t="s">
        <v>26</v>
      </c>
      <c r="R13" s="4">
        <v>0</v>
      </c>
      <c r="S13" s="6">
        <v>5</v>
      </c>
      <c r="T13" s="6">
        <v>35</v>
      </c>
      <c r="U13" s="6">
        <v>44</v>
      </c>
      <c r="V13" s="6">
        <f>IF(ISERROR(VLOOKUP($S$13,'TAR FIN'!$A$1:$O$85,15,0)),0,VLOOKUP($S$13,'TAR FIN'!$A$1:$O$85,15,0))</f>
        <v>18.72</v>
      </c>
      <c r="W13" s="6">
        <f>IF(ISERROR(VLOOKUP($T$13,'TAR FIN'!$A$1:$O$85,15,0)),0,VLOOKUP($T$13,'TAR FIN'!$A$1:$O$85,15,0))</f>
        <v>82.94</v>
      </c>
      <c r="X13" s="6">
        <f>IF(ISERROR(VLOOKUP($U$13,'TAR FIN'!$A$1:$O$85,15,0)),0,VLOOKUP($U$13,'TAR FIN'!$A$1:$O$85,15,0))</f>
        <v>310.5</v>
      </c>
      <c r="Y13" s="6">
        <f ca="1">('TUSD BE'!$AM$6+'TUSD BF'!$AM$6+'TUSD CVA'!$AM$6)*1</f>
        <v>18.85947186003559</v>
      </c>
      <c r="Z13" s="6">
        <f ca="1">('TUSD BE'!$AM$7+'TUSD BF'!$AM$7+'TUSD CVA'!$AM$7)*1</f>
        <v>91.42946115697444</v>
      </c>
      <c r="AA13" s="6">
        <f>('TE BE'!$AB$6+'TE BF'!$AB$6+'TE CVA'!$AB$6)*1</f>
        <v>221.79210547670309</v>
      </c>
      <c r="AB13" s="6">
        <f>$K$13*$V$13</f>
        <v>13384.8</v>
      </c>
      <c r="AC13" s="6">
        <f>$M$13*$W$13</f>
        <v>17809.872080000001</v>
      </c>
      <c r="AD13" s="6">
        <f>$O$13*$X$13</f>
        <v>66674.285999999993</v>
      </c>
      <c r="AE13" s="6">
        <f ca="1">$K$13*$Y$13</f>
        <v>13484.522379925447</v>
      </c>
      <c r="AF13" s="6">
        <f ca="1">$M$13*$Z$13</f>
        <v>19632.831053159436</v>
      </c>
      <c r="AG13" s="6">
        <f>$O$13*$AA$13</f>
        <v>47625.862393223404</v>
      </c>
    </row>
    <row r="14" spans="1:48" ht="11.25" customHeight="1" x14ac:dyDescent="0.3">
      <c r="A14" s="4" t="s">
        <v>21</v>
      </c>
      <c r="B14" s="4" t="s">
        <v>33</v>
      </c>
      <c r="C14" s="4" t="s">
        <v>34</v>
      </c>
      <c r="D14" s="4" t="s">
        <v>32</v>
      </c>
      <c r="E14" s="4" t="s">
        <v>25</v>
      </c>
      <c r="F14" s="4" t="s">
        <v>25</v>
      </c>
      <c r="G14" s="4" t="s">
        <v>25</v>
      </c>
      <c r="H14" s="4" t="s">
        <v>35</v>
      </c>
      <c r="I14" s="5">
        <v>44440</v>
      </c>
      <c r="J14" s="6">
        <v>580</v>
      </c>
      <c r="K14" s="6">
        <v>580</v>
      </c>
      <c r="L14" s="6">
        <v>23.847000000000001</v>
      </c>
      <c r="M14" s="6">
        <v>23.847000000000001</v>
      </c>
      <c r="N14" s="6">
        <v>23.847000000000001</v>
      </c>
      <c r="O14" s="6">
        <v>23.847000000000001</v>
      </c>
      <c r="P14" s="6">
        <v>0</v>
      </c>
      <c r="Q14" s="4" t="s">
        <v>26</v>
      </c>
      <c r="R14" s="4">
        <v>0</v>
      </c>
      <c r="S14" s="6">
        <v>1</v>
      </c>
      <c r="T14" s="6">
        <v>35</v>
      </c>
      <c r="U14" s="6">
        <v>41</v>
      </c>
      <c r="V14" s="6">
        <f>IF(ISERROR(VLOOKUP($S$14,'TAR FIN'!$A$1:$O$85,15,0)),0,VLOOKUP($S$14,'TAR FIN'!$A$1:$O$85,15,0))</f>
        <v>53.48</v>
      </c>
      <c r="W14" s="6">
        <f>IF(ISERROR(VLOOKUP($T$14,'TAR FIN'!$A$1:$O$85,15,0)),0,VLOOKUP($T$14,'TAR FIN'!$A$1:$O$85,15,0))</f>
        <v>82.94</v>
      </c>
      <c r="X14" s="6">
        <f>IF(ISERROR(VLOOKUP($U$14,'TAR FIN'!$A$1:$O$85,15,0)),0,VLOOKUP($U$14,'TAR FIN'!$A$1:$O$85,15,0))</f>
        <v>310.5</v>
      </c>
      <c r="Y14" s="6">
        <f ca="1">('TUSD BE'!$AM$5+'TUSD BF'!$AM$5+'TUSD CVA'!$AM$5)*1</f>
        <v>53.617342293715417</v>
      </c>
      <c r="Z14" s="6">
        <f ca="1">('TUSD BE'!$AM$7+'TUSD BF'!$AM$7+'TUSD CVA'!$AM$7)*1</f>
        <v>91.42946115697444</v>
      </c>
      <c r="AA14" s="6">
        <f>('TE BE'!$AB$5+'TE BF'!$AB$5+'TE CVA'!$AB$5)*1</f>
        <v>221.79210547670309</v>
      </c>
      <c r="AB14" s="6">
        <f>$K$14*$V$14</f>
        <v>31018.399999999998</v>
      </c>
      <c r="AC14" s="6">
        <f>$M$14*$W$14</f>
        <v>1977.8701800000001</v>
      </c>
      <c r="AD14" s="6">
        <f>$O$14*$X$14</f>
        <v>7404.4935000000005</v>
      </c>
      <c r="AE14" s="6">
        <f ca="1">$K$14*$Y$14</f>
        <v>31098.058530354941</v>
      </c>
      <c r="AF14" s="6">
        <f ca="1">$M$14*$Z$14</f>
        <v>2180.3183602103695</v>
      </c>
      <c r="AG14" s="6">
        <f>$O$14*$AA$14</f>
        <v>5289.0763393029383</v>
      </c>
    </row>
    <row r="15" spans="1:48" ht="11.25" customHeight="1" x14ac:dyDescent="0.3">
      <c r="A15" s="4" t="s">
        <v>21</v>
      </c>
      <c r="B15" s="4" t="s">
        <v>33</v>
      </c>
      <c r="C15" s="4" t="s">
        <v>34</v>
      </c>
      <c r="D15" s="4" t="s">
        <v>32</v>
      </c>
      <c r="E15" s="4" t="s">
        <v>25</v>
      </c>
      <c r="F15" s="4" t="s">
        <v>25</v>
      </c>
      <c r="G15" s="4" t="s">
        <v>25</v>
      </c>
      <c r="H15" s="4" t="s">
        <v>35</v>
      </c>
      <c r="I15" s="5">
        <v>44470</v>
      </c>
      <c r="J15" s="6">
        <v>580</v>
      </c>
      <c r="K15" s="6">
        <v>580</v>
      </c>
      <c r="L15" s="6">
        <v>23.850999999999999</v>
      </c>
      <c r="M15" s="6">
        <v>23.850999999999999</v>
      </c>
      <c r="N15" s="6">
        <v>23.850999999999999</v>
      </c>
      <c r="O15" s="6">
        <v>23.850999999999999</v>
      </c>
      <c r="P15" s="6">
        <v>0</v>
      </c>
      <c r="Q15" s="4" t="s">
        <v>26</v>
      </c>
      <c r="R15" s="4">
        <v>0</v>
      </c>
      <c r="S15" s="6">
        <v>1</v>
      </c>
      <c r="T15" s="6">
        <v>35</v>
      </c>
      <c r="U15" s="6">
        <v>41</v>
      </c>
      <c r="V15" s="6">
        <f>IF(ISERROR(VLOOKUP($S$15,'TAR FIN'!$A$1:$O$85,15,0)),0,VLOOKUP($S$15,'TAR FIN'!$A$1:$O$85,15,0))</f>
        <v>53.48</v>
      </c>
      <c r="W15" s="6">
        <f>IF(ISERROR(VLOOKUP($T$15,'TAR FIN'!$A$1:$O$85,15,0)),0,VLOOKUP($T$15,'TAR FIN'!$A$1:$O$85,15,0))</f>
        <v>82.94</v>
      </c>
      <c r="X15" s="6">
        <f>IF(ISERROR(VLOOKUP($U$15,'TAR FIN'!$A$1:$O$85,15,0)),0,VLOOKUP($U$15,'TAR FIN'!$A$1:$O$85,15,0))</f>
        <v>310.5</v>
      </c>
      <c r="Y15" s="6">
        <f ca="1">('TUSD BE'!$AM$5+'TUSD BF'!$AM$5+'TUSD CVA'!$AM$5)*1</f>
        <v>53.617342293715417</v>
      </c>
      <c r="Z15" s="6">
        <f ca="1">('TUSD BE'!$AM$7+'TUSD BF'!$AM$7+'TUSD CVA'!$AM$7)*1</f>
        <v>91.42946115697444</v>
      </c>
      <c r="AA15" s="6">
        <f>('TE BE'!$AB$5+'TE BF'!$AB$5+'TE CVA'!$AB$5)*1</f>
        <v>221.79210547670309</v>
      </c>
      <c r="AB15" s="6">
        <f>$K$15*$V$15</f>
        <v>31018.399999999998</v>
      </c>
      <c r="AC15" s="6">
        <f>$M$15*$W$15</f>
        <v>1978.2019399999999</v>
      </c>
      <c r="AD15" s="6">
        <f>$O$15*$X$15</f>
        <v>7405.7354999999998</v>
      </c>
      <c r="AE15" s="6">
        <f ca="1">$K$15*$Y$15</f>
        <v>31098.058530354941</v>
      </c>
      <c r="AF15" s="6">
        <f ca="1">$M$15*$Z$15</f>
        <v>2180.6840780549974</v>
      </c>
      <c r="AG15" s="6">
        <f>$O$15*$AA$15</f>
        <v>5289.9635077248449</v>
      </c>
    </row>
    <row r="16" spans="1:48" ht="11.25" customHeight="1" x14ac:dyDescent="0.3">
      <c r="A16" s="4" t="s">
        <v>21</v>
      </c>
      <c r="B16" s="4" t="s">
        <v>33</v>
      </c>
      <c r="C16" s="4" t="s">
        <v>34</v>
      </c>
      <c r="D16" s="4" t="s">
        <v>32</v>
      </c>
      <c r="E16" s="4" t="s">
        <v>25</v>
      </c>
      <c r="F16" s="4" t="s">
        <v>25</v>
      </c>
      <c r="G16" s="4" t="s">
        <v>25</v>
      </c>
      <c r="H16" s="4" t="s">
        <v>35</v>
      </c>
      <c r="I16" s="5">
        <v>44501</v>
      </c>
      <c r="J16" s="6">
        <v>605</v>
      </c>
      <c r="K16" s="6">
        <v>605</v>
      </c>
      <c r="L16" s="6">
        <v>25.48</v>
      </c>
      <c r="M16" s="6">
        <v>25.48</v>
      </c>
      <c r="N16" s="6">
        <v>25.48</v>
      </c>
      <c r="O16" s="6">
        <v>25.48</v>
      </c>
      <c r="P16" s="6">
        <v>0</v>
      </c>
      <c r="Q16" s="4" t="s">
        <v>26</v>
      </c>
      <c r="R16" s="4">
        <v>0</v>
      </c>
      <c r="S16" s="6">
        <v>1</v>
      </c>
      <c r="T16" s="6">
        <v>35</v>
      </c>
      <c r="U16" s="6">
        <v>41</v>
      </c>
      <c r="V16" s="6">
        <f>IF(ISERROR(VLOOKUP($S$16,'TAR FIN'!$A$1:$O$85,15,0)),0,VLOOKUP($S$16,'TAR FIN'!$A$1:$O$85,15,0))</f>
        <v>53.48</v>
      </c>
      <c r="W16" s="6">
        <f>IF(ISERROR(VLOOKUP($T$16,'TAR FIN'!$A$1:$O$85,15,0)),0,VLOOKUP($T$16,'TAR FIN'!$A$1:$O$85,15,0))</f>
        <v>82.94</v>
      </c>
      <c r="X16" s="6">
        <f>IF(ISERROR(VLOOKUP($U$16,'TAR FIN'!$A$1:$O$85,15,0)),0,VLOOKUP($U$16,'TAR FIN'!$A$1:$O$85,15,0))</f>
        <v>310.5</v>
      </c>
      <c r="Y16" s="6">
        <f ca="1">('TUSD BE'!$AM$5+'TUSD BF'!$AM$5+'TUSD CVA'!$AM$5)*1</f>
        <v>53.617342293715417</v>
      </c>
      <c r="Z16" s="6">
        <f ca="1">('TUSD BE'!$AM$7+'TUSD BF'!$AM$7+'TUSD CVA'!$AM$7)*1</f>
        <v>91.42946115697444</v>
      </c>
      <c r="AA16" s="6">
        <f>('TE BE'!$AB$5+'TE BF'!$AB$5+'TE CVA'!$AB$5)*1</f>
        <v>221.79210547670309</v>
      </c>
      <c r="AB16" s="6">
        <f>$K$16*$V$16</f>
        <v>32355.399999999998</v>
      </c>
      <c r="AC16" s="6">
        <f>$M$16*$W$16</f>
        <v>2113.3112000000001</v>
      </c>
      <c r="AD16" s="6">
        <f>$O$16*$X$16</f>
        <v>7911.54</v>
      </c>
      <c r="AE16" s="6">
        <f ca="1">$K$16*$Y$16</f>
        <v>32438.492087697829</v>
      </c>
      <c r="AF16" s="6">
        <f ca="1">$M$16*$Z$16</f>
        <v>2329.6226702797089</v>
      </c>
      <c r="AG16" s="6">
        <f>$O$16*$AA$16</f>
        <v>5651.2628475463944</v>
      </c>
    </row>
    <row r="17" spans="1:33" ht="11.25" customHeight="1" x14ac:dyDescent="0.3">
      <c r="A17" s="4" t="s">
        <v>21</v>
      </c>
      <c r="B17" s="4" t="s">
        <v>33</v>
      </c>
      <c r="C17" s="4" t="s">
        <v>34</v>
      </c>
      <c r="D17" s="4" t="s">
        <v>32</v>
      </c>
      <c r="E17" s="4" t="s">
        <v>25</v>
      </c>
      <c r="F17" s="4" t="s">
        <v>25</v>
      </c>
      <c r="G17" s="4" t="s">
        <v>25</v>
      </c>
      <c r="H17" s="4" t="s">
        <v>35</v>
      </c>
      <c r="I17" s="5">
        <v>44531</v>
      </c>
      <c r="J17" s="6">
        <v>744</v>
      </c>
      <c r="K17" s="6">
        <v>744</v>
      </c>
      <c r="L17" s="6">
        <v>33.853999999999999</v>
      </c>
      <c r="M17" s="6">
        <v>33.853999999999999</v>
      </c>
      <c r="N17" s="6">
        <v>33.853999999999999</v>
      </c>
      <c r="O17" s="6">
        <v>33.853999999999999</v>
      </c>
      <c r="P17" s="6">
        <v>0</v>
      </c>
      <c r="Q17" s="4" t="s">
        <v>26</v>
      </c>
      <c r="R17" s="4">
        <v>0</v>
      </c>
      <c r="S17" s="6">
        <v>1</v>
      </c>
      <c r="T17" s="6">
        <v>35</v>
      </c>
      <c r="U17" s="6">
        <v>41</v>
      </c>
      <c r="V17" s="6">
        <f>IF(ISERROR(VLOOKUP($S$17,'TAR FIN'!$A$1:$O$85,15,0)),0,VLOOKUP($S$17,'TAR FIN'!$A$1:$O$85,15,0))</f>
        <v>53.48</v>
      </c>
      <c r="W17" s="6">
        <f>IF(ISERROR(VLOOKUP($T$17,'TAR FIN'!$A$1:$O$85,15,0)),0,VLOOKUP($T$17,'TAR FIN'!$A$1:$O$85,15,0))</f>
        <v>82.94</v>
      </c>
      <c r="X17" s="6">
        <f>IF(ISERROR(VLOOKUP($U$17,'TAR FIN'!$A$1:$O$85,15,0)),0,VLOOKUP($U$17,'TAR FIN'!$A$1:$O$85,15,0))</f>
        <v>310.5</v>
      </c>
      <c r="Y17" s="6">
        <f ca="1">('TUSD BE'!$AM$5+'TUSD BF'!$AM$5+'TUSD CVA'!$AM$5)*1</f>
        <v>53.617342293715417</v>
      </c>
      <c r="Z17" s="6">
        <f ca="1">('TUSD BE'!$AM$7+'TUSD BF'!$AM$7+'TUSD CVA'!$AM$7)*1</f>
        <v>91.42946115697444</v>
      </c>
      <c r="AA17" s="6">
        <f>('TE BE'!$AB$5+'TE BF'!$AB$5+'TE CVA'!$AB$5)*1</f>
        <v>221.79210547670309</v>
      </c>
      <c r="AB17" s="6">
        <f>$K$17*$V$17</f>
        <v>39789.119999999995</v>
      </c>
      <c r="AC17" s="6">
        <f>$M$17*$W$17</f>
        <v>2807.8507599999998</v>
      </c>
      <c r="AD17" s="6">
        <f>$O$17*$X$17</f>
        <v>10511.666999999999</v>
      </c>
      <c r="AE17" s="6">
        <f ca="1">$K$17*$Y$17</f>
        <v>39891.302666524272</v>
      </c>
      <c r="AF17" s="6">
        <f ca="1">$M$17*$Z$17</f>
        <v>3095.2529780082127</v>
      </c>
      <c r="AG17" s="6">
        <f>$O$17*$AA$17</f>
        <v>7508.5499388083063</v>
      </c>
    </row>
    <row r="18" spans="1:33" ht="11.25" customHeight="1" x14ac:dyDescent="0.3">
      <c r="A18" s="4" t="s">
        <v>21</v>
      </c>
      <c r="B18" s="4" t="s">
        <v>33</v>
      </c>
      <c r="C18" s="4" t="s">
        <v>34</v>
      </c>
      <c r="D18" s="4" t="s">
        <v>32</v>
      </c>
      <c r="E18" s="4" t="s">
        <v>25</v>
      </c>
      <c r="F18" s="4" t="s">
        <v>25</v>
      </c>
      <c r="G18" s="4" t="s">
        <v>25</v>
      </c>
      <c r="H18" s="4" t="s">
        <v>35</v>
      </c>
      <c r="I18" s="5">
        <v>44562</v>
      </c>
      <c r="J18" s="6">
        <v>715</v>
      </c>
      <c r="K18" s="6">
        <v>715</v>
      </c>
      <c r="L18" s="6">
        <v>33.731000000000002</v>
      </c>
      <c r="M18" s="6">
        <v>33.731000000000002</v>
      </c>
      <c r="N18" s="6">
        <v>33.731000000000002</v>
      </c>
      <c r="O18" s="6">
        <v>33.731000000000002</v>
      </c>
      <c r="P18" s="6">
        <v>0</v>
      </c>
      <c r="Q18" s="4" t="s">
        <v>26</v>
      </c>
      <c r="R18" s="4">
        <v>0</v>
      </c>
      <c r="S18" s="6">
        <v>1</v>
      </c>
      <c r="T18" s="6">
        <v>35</v>
      </c>
      <c r="U18" s="6">
        <v>41</v>
      </c>
      <c r="V18" s="6">
        <f>IF(ISERROR(VLOOKUP($S$18,'TAR FIN'!$A$1:$O$85,15,0)),0,VLOOKUP($S$18,'TAR FIN'!$A$1:$O$85,15,0))</f>
        <v>53.48</v>
      </c>
      <c r="W18" s="6">
        <f>IF(ISERROR(VLOOKUP($T$18,'TAR FIN'!$A$1:$O$85,15,0)),0,VLOOKUP($T$18,'TAR FIN'!$A$1:$O$85,15,0))</f>
        <v>82.94</v>
      </c>
      <c r="X18" s="6">
        <f>IF(ISERROR(VLOOKUP($U$18,'TAR FIN'!$A$1:$O$85,15,0)),0,VLOOKUP($U$18,'TAR FIN'!$A$1:$O$85,15,0))</f>
        <v>310.5</v>
      </c>
      <c r="Y18" s="6">
        <f ca="1">('TUSD BE'!$AM$5+'TUSD BF'!$AM$5+'TUSD CVA'!$AM$5)*1</f>
        <v>53.617342293715417</v>
      </c>
      <c r="Z18" s="6">
        <f ca="1">('TUSD BE'!$AM$7+'TUSD BF'!$AM$7+'TUSD CVA'!$AM$7)*1</f>
        <v>91.42946115697444</v>
      </c>
      <c r="AA18" s="6">
        <f>('TE BE'!$AB$5+'TE BF'!$AB$5+'TE CVA'!$AB$5)*1</f>
        <v>221.79210547670309</v>
      </c>
      <c r="AB18" s="6">
        <f>$K$18*$V$18</f>
        <v>38238.199999999997</v>
      </c>
      <c r="AC18" s="6">
        <f>$M$18*$W$18</f>
        <v>2797.64914</v>
      </c>
      <c r="AD18" s="6">
        <f>$O$18*$X$18</f>
        <v>10473.4755</v>
      </c>
      <c r="AE18" s="6">
        <f ca="1">$K$18*$Y$18</f>
        <v>38336.39974000652</v>
      </c>
      <c r="AF18" s="6">
        <f ca="1">$M$18*$Z$18</f>
        <v>3084.007154285905</v>
      </c>
      <c r="AG18" s="6">
        <f>$O$18*$AA$18</f>
        <v>7481.2695098346721</v>
      </c>
    </row>
    <row r="19" spans="1:33" ht="11.25" customHeight="1" x14ac:dyDescent="0.3">
      <c r="A19" s="4" t="s">
        <v>21</v>
      </c>
      <c r="B19" s="4" t="s">
        <v>33</v>
      </c>
      <c r="C19" s="4" t="s">
        <v>34</v>
      </c>
      <c r="D19" s="4" t="s">
        <v>32</v>
      </c>
      <c r="E19" s="4" t="s">
        <v>25</v>
      </c>
      <c r="F19" s="4" t="s">
        <v>25</v>
      </c>
      <c r="G19" s="4" t="s">
        <v>25</v>
      </c>
      <c r="H19" s="4" t="s">
        <v>35</v>
      </c>
      <c r="I19" s="5">
        <v>44593</v>
      </c>
      <c r="J19" s="6">
        <v>715</v>
      </c>
      <c r="K19" s="6">
        <v>715</v>
      </c>
      <c r="L19" s="6">
        <v>24.837</v>
      </c>
      <c r="M19" s="6">
        <v>24.837</v>
      </c>
      <c r="N19" s="6">
        <v>24.837</v>
      </c>
      <c r="O19" s="6">
        <v>24.837</v>
      </c>
      <c r="P19" s="6">
        <v>0</v>
      </c>
      <c r="Q19" s="4" t="s">
        <v>26</v>
      </c>
      <c r="R19" s="4">
        <v>0</v>
      </c>
      <c r="S19" s="6">
        <v>1</v>
      </c>
      <c r="T19" s="6">
        <v>35</v>
      </c>
      <c r="U19" s="6">
        <v>41</v>
      </c>
      <c r="V19" s="6">
        <f>IF(ISERROR(VLOOKUP($S$19,'TAR FIN'!$A$1:$O$85,15,0)),0,VLOOKUP($S$19,'TAR FIN'!$A$1:$O$85,15,0))</f>
        <v>53.48</v>
      </c>
      <c r="W19" s="6">
        <f>IF(ISERROR(VLOOKUP($T$19,'TAR FIN'!$A$1:$O$85,15,0)),0,VLOOKUP($T$19,'TAR FIN'!$A$1:$O$85,15,0))</f>
        <v>82.94</v>
      </c>
      <c r="X19" s="6">
        <f>IF(ISERROR(VLOOKUP($U$19,'TAR FIN'!$A$1:$O$85,15,0)),0,VLOOKUP($U$19,'TAR FIN'!$A$1:$O$85,15,0))</f>
        <v>310.5</v>
      </c>
      <c r="Y19" s="6">
        <f ca="1">('TUSD BE'!$AM$5+'TUSD BF'!$AM$5+'TUSD CVA'!$AM$5)*1</f>
        <v>53.617342293715417</v>
      </c>
      <c r="Z19" s="6">
        <f ca="1">('TUSD BE'!$AM$7+'TUSD BF'!$AM$7+'TUSD CVA'!$AM$7)*1</f>
        <v>91.42946115697444</v>
      </c>
      <c r="AA19" s="6">
        <f>('TE BE'!$AB$5+'TE BF'!$AB$5+'TE CVA'!$AB$5)*1</f>
        <v>221.79210547670309</v>
      </c>
      <c r="AB19" s="6">
        <f>$K$19*$V$19</f>
        <v>38238.199999999997</v>
      </c>
      <c r="AC19" s="6">
        <f>$M$19*$W$19</f>
        <v>2059.9807799999999</v>
      </c>
      <c r="AD19" s="6">
        <f>$O$19*$X$19</f>
        <v>7711.8885</v>
      </c>
      <c r="AE19" s="6">
        <f ca="1">$K$19*$Y$19</f>
        <v>38336.39974000652</v>
      </c>
      <c r="AF19" s="6">
        <f ca="1">$M$19*$Z$19</f>
        <v>2270.8335267557741</v>
      </c>
      <c r="AG19" s="6">
        <f>$O$19*$AA$19</f>
        <v>5508.6505237248748</v>
      </c>
    </row>
    <row r="20" spans="1:33" ht="11.25" customHeight="1" x14ac:dyDescent="0.3">
      <c r="A20" s="4" t="s">
        <v>21</v>
      </c>
      <c r="B20" s="4" t="s">
        <v>33</v>
      </c>
      <c r="C20" s="4" t="s">
        <v>34</v>
      </c>
      <c r="D20" s="4" t="s">
        <v>32</v>
      </c>
      <c r="E20" s="4" t="s">
        <v>25</v>
      </c>
      <c r="F20" s="4" t="s">
        <v>25</v>
      </c>
      <c r="G20" s="4" t="s">
        <v>25</v>
      </c>
      <c r="H20" s="4" t="s">
        <v>35</v>
      </c>
      <c r="I20" s="5">
        <v>44621</v>
      </c>
      <c r="J20" s="6">
        <v>715</v>
      </c>
      <c r="K20" s="6">
        <v>715</v>
      </c>
      <c r="L20" s="6">
        <v>34.512</v>
      </c>
      <c r="M20" s="6">
        <v>34.512</v>
      </c>
      <c r="N20" s="6">
        <v>34.512</v>
      </c>
      <c r="O20" s="6">
        <v>34.512</v>
      </c>
      <c r="P20" s="6">
        <v>0</v>
      </c>
      <c r="Q20" s="4" t="s">
        <v>26</v>
      </c>
      <c r="R20" s="4">
        <v>0</v>
      </c>
      <c r="S20" s="6">
        <v>1</v>
      </c>
      <c r="T20" s="6">
        <v>35</v>
      </c>
      <c r="U20" s="6">
        <v>41</v>
      </c>
      <c r="V20" s="6">
        <f>IF(ISERROR(VLOOKUP($S$20,'TAR FIN'!$A$1:$O$85,15,0)),0,VLOOKUP($S$20,'TAR FIN'!$A$1:$O$85,15,0))</f>
        <v>53.48</v>
      </c>
      <c r="W20" s="6">
        <f>IF(ISERROR(VLOOKUP($T$20,'TAR FIN'!$A$1:$O$85,15,0)),0,VLOOKUP($T$20,'TAR FIN'!$A$1:$O$85,15,0))</f>
        <v>82.94</v>
      </c>
      <c r="X20" s="6">
        <f>IF(ISERROR(VLOOKUP($U$20,'TAR FIN'!$A$1:$O$85,15,0)),0,VLOOKUP($U$20,'TAR FIN'!$A$1:$O$85,15,0))</f>
        <v>310.5</v>
      </c>
      <c r="Y20" s="6">
        <f ca="1">('TUSD BE'!$AM$5+'TUSD BF'!$AM$5+'TUSD CVA'!$AM$5)*1</f>
        <v>53.617342293715417</v>
      </c>
      <c r="Z20" s="6">
        <f ca="1">('TUSD BE'!$AM$7+'TUSD BF'!$AM$7+'TUSD CVA'!$AM$7)*1</f>
        <v>91.42946115697444</v>
      </c>
      <c r="AA20" s="6">
        <f>('TE BE'!$AB$5+'TE BF'!$AB$5+'TE CVA'!$AB$5)*1</f>
        <v>221.79210547670309</v>
      </c>
      <c r="AB20" s="6">
        <f>$K$20*$V$20</f>
        <v>38238.199999999997</v>
      </c>
      <c r="AC20" s="6">
        <f>$M$20*$W$20</f>
        <v>2862.4252799999999</v>
      </c>
      <c r="AD20" s="6">
        <f>$O$20*$X$20</f>
        <v>10715.976000000001</v>
      </c>
      <c r="AE20" s="6">
        <f ca="1">$K$20*$Y$20</f>
        <v>38336.39974000652</v>
      </c>
      <c r="AF20" s="6">
        <f ca="1">$M$20*$Z$20</f>
        <v>3155.4135634495019</v>
      </c>
      <c r="AG20" s="6">
        <f>$O$20*$AA$20</f>
        <v>7654.489144211977</v>
      </c>
    </row>
    <row r="21" spans="1:33" ht="11.25" customHeight="1" x14ac:dyDescent="0.3">
      <c r="A21" s="4" t="s">
        <v>21</v>
      </c>
      <c r="B21" s="4" t="s">
        <v>33</v>
      </c>
      <c r="C21" s="4" t="s">
        <v>34</v>
      </c>
      <c r="D21" s="4" t="s">
        <v>32</v>
      </c>
      <c r="E21" s="4" t="s">
        <v>25</v>
      </c>
      <c r="F21" s="4" t="s">
        <v>25</v>
      </c>
      <c r="G21" s="4" t="s">
        <v>25</v>
      </c>
      <c r="H21" s="4" t="s">
        <v>35</v>
      </c>
      <c r="I21" s="5">
        <v>44652</v>
      </c>
      <c r="J21" s="6">
        <v>715</v>
      </c>
      <c r="K21" s="6">
        <v>715</v>
      </c>
      <c r="L21" s="6">
        <v>29.952000000000002</v>
      </c>
      <c r="M21" s="6">
        <v>29.952000000000002</v>
      </c>
      <c r="N21" s="6">
        <v>29.952000000000002</v>
      </c>
      <c r="O21" s="6">
        <v>29.952000000000002</v>
      </c>
      <c r="P21" s="6">
        <v>0</v>
      </c>
      <c r="Q21" s="4" t="s">
        <v>26</v>
      </c>
      <c r="R21" s="4">
        <v>0</v>
      </c>
      <c r="S21" s="6">
        <v>1</v>
      </c>
      <c r="T21" s="6">
        <v>35</v>
      </c>
      <c r="U21" s="6">
        <v>41</v>
      </c>
      <c r="V21" s="6">
        <f>IF(ISERROR(VLOOKUP($S$21,'TAR FIN'!$A$1:$O$85,15,0)),0,VLOOKUP($S$21,'TAR FIN'!$A$1:$O$85,15,0))</f>
        <v>53.48</v>
      </c>
      <c r="W21" s="6">
        <f>IF(ISERROR(VLOOKUP($T$21,'TAR FIN'!$A$1:$O$85,15,0)),0,VLOOKUP($T$21,'TAR FIN'!$A$1:$O$85,15,0))</f>
        <v>82.94</v>
      </c>
      <c r="X21" s="6">
        <f>IF(ISERROR(VLOOKUP($U$21,'TAR FIN'!$A$1:$O$85,15,0)),0,VLOOKUP($U$21,'TAR FIN'!$A$1:$O$85,15,0))</f>
        <v>310.5</v>
      </c>
      <c r="Y21" s="6">
        <f ca="1">('TUSD BE'!$AM$5+'TUSD BF'!$AM$5+'TUSD CVA'!$AM$5)*1</f>
        <v>53.617342293715417</v>
      </c>
      <c r="Z21" s="6">
        <f ca="1">('TUSD BE'!$AM$7+'TUSD BF'!$AM$7+'TUSD CVA'!$AM$7)*1</f>
        <v>91.42946115697444</v>
      </c>
      <c r="AA21" s="6">
        <f>('TE BE'!$AB$5+'TE BF'!$AB$5+'TE CVA'!$AB$5)*1</f>
        <v>221.79210547670309</v>
      </c>
      <c r="AB21" s="6">
        <f>$K$21*$V$21</f>
        <v>38238.199999999997</v>
      </c>
      <c r="AC21" s="6">
        <f>$M$21*$W$21</f>
        <v>2484.2188799999999</v>
      </c>
      <c r="AD21" s="6">
        <f>$O$21*$X$21</f>
        <v>9300.0960000000014</v>
      </c>
      <c r="AE21" s="6">
        <f ca="1">$K$21*$Y$21</f>
        <v>38336.39974000652</v>
      </c>
      <c r="AF21" s="6">
        <f ca="1">$M$21*$Z$21</f>
        <v>2738.4952205736986</v>
      </c>
      <c r="AG21" s="6">
        <f>$O$21*$AA$21</f>
        <v>6643.1171432382116</v>
      </c>
    </row>
    <row r="22" spans="1:33" ht="11.25" customHeight="1" x14ac:dyDescent="0.3">
      <c r="A22" s="4" t="s">
        <v>21</v>
      </c>
      <c r="B22" s="4" t="s">
        <v>33</v>
      </c>
      <c r="C22" s="4" t="s">
        <v>34</v>
      </c>
      <c r="D22" s="4" t="s">
        <v>32</v>
      </c>
      <c r="E22" s="4" t="s">
        <v>25</v>
      </c>
      <c r="F22" s="4" t="s">
        <v>25</v>
      </c>
      <c r="G22" s="4" t="s">
        <v>25</v>
      </c>
      <c r="H22" s="4" t="s">
        <v>35</v>
      </c>
      <c r="I22" s="5">
        <v>44682</v>
      </c>
      <c r="J22" s="6">
        <v>715</v>
      </c>
      <c r="K22" s="6">
        <v>715</v>
      </c>
      <c r="L22" s="6">
        <v>34.067999999999998</v>
      </c>
      <c r="M22" s="6">
        <v>34.067999999999998</v>
      </c>
      <c r="N22" s="6">
        <v>34.067999999999998</v>
      </c>
      <c r="O22" s="6">
        <v>34.067999999999998</v>
      </c>
      <c r="P22" s="6">
        <v>0</v>
      </c>
      <c r="Q22" s="4" t="s">
        <v>26</v>
      </c>
      <c r="R22" s="4">
        <v>0</v>
      </c>
      <c r="S22" s="6">
        <v>1</v>
      </c>
      <c r="T22" s="6">
        <v>35</v>
      </c>
      <c r="U22" s="6">
        <v>41</v>
      </c>
      <c r="V22" s="6">
        <f>IF(ISERROR(VLOOKUP($S$22,'TAR FIN'!$A$1:$O$85,15,0)),0,VLOOKUP($S$22,'TAR FIN'!$A$1:$O$85,15,0))</f>
        <v>53.48</v>
      </c>
      <c r="W22" s="6">
        <f>IF(ISERROR(VLOOKUP($T$22,'TAR FIN'!$A$1:$O$85,15,0)),0,VLOOKUP($T$22,'TAR FIN'!$A$1:$O$85,15,0))</f>
        <v>82.94</v>
      </c>
      <c r="X22" s="6">
        <f>IF(ISERROR(VLOOKUP($U$22,'TAR FIN'!$A$1:$O$85,15,0)),0,VLOOKUP($U$22,'TAR FIN'!$A$1:$O$85,15,0))</f>
        <v>310.5</v>
      </c>
      <c r="Y22" s="6">
        <f ca="1">('TUSD BE'!$AM$5+'TUSD BF'!$AM$5+'TUSD CVA'!$AM$5)*1</f>
        <v>53.617342293715417</v>
      </c>
      <c r="Z22" s="6">
        <f ca="1">('TUSD BE'!$AM$7+'TUSD BF'!$AM$7+'TUSD CVA'!$AM$7)*1</f>
        <v>91.42946115697444</v>
      </c>
      <c r="AA22" s="6">
        <f>('TE BE'!$AB$5+'TE BF'!$AB$5+'TE CVA'!$AB$5)*1</f>
        <v>221.79210547670309</v>
      </c>
      <c r="AB22" s="6">
        <f>$K$22*$V$22</f>
        <v>38238.199999999997</v>
      </c>
      <c r="AC22" s="6">
        <f>$M$22*$W$22</f>
        <v>2825.5999199999997</v>
      </c>
      <c r="AD22" s="6">
        <f>$O$22*$X$22</f>
        <v>10578.114</v>
      </c>
      <c r="AE22" s="6">
        <f ca="1">$K$22*$Y$22</f>
        <v>38336.39974000652</v>
      </c>
      <c r="AF22" s="6">
        <f ca="1">$M$22*$Z$22</f>
        <v>3114.8188826958049</v>
      </c>
      <c r="AG22" s="6">
        <f>$O$22*$AA$22</f>
        <v>7556.0134493803198</v>
      </c>
    </row>
    <row r="23" spans="1:33" ht="11.25" customHeight="1" x14ac:dyDescent="0.3">
      <c r="A23" s="4" t="s">
        <v>21</v>
      </c>
      <c r="B23" s="4" t="s">
        <v>33</v>
      </c>
      <c r="C23" s="4" t="s">
        <v>34</v>
      </c>
      <c r="D23" s="4" t="s">
        <v>32</v>
      </c>
      <c r="E23" s="4" t="s">
        <v>25</v>
      </c>
      <c r="F23" s="4" t="s">
        <v>25</v>
      </c>
      <c r="G23" s="4" t="s">
        <v>25</v>
      </c>
      <c r="H23" s="4" t="s">
        <v>35</v>
      </c>
      <c r="I23" s="5">
        <v>44713</v>
      </c>
      <c r="J23" s="6">
        <v>715</v>
      </c>
      <c r="K23" s="6">
        <v>715</v>
      </c>
      <c r="L23" s="6">
        <v>29.943999999999999</v>
      </c>
      <c r="M23" s="6">
        <v>29.943999999999999</v>
      </c>
      <c r="N23" s="6">
        <v>29.943999999999999</v>
      </c>
      <c r="O23" s="6">
        <v>29.943999999999999</v>
      </c>
      <c r="P23" s="6">
        <v>0</v>
      </c>
      <c r="Q23" s="4" t="s">
        <v>26</v>
      </c>
      <c r="R23" s="4">
        <v>0</v>
      </c>
      <c r="S23" s="6">
        <v>1</v>
      </c>
      <c r="T23" s="6">
        <v>35</v>
      </c>
      <c r="U23" s="6">
        <v>41</v>
      </c>
      <c r="V23" s="6">
        <f>IF(ISERROR(VLOOKUP($S$23,'TAR FIN'!$A$1:$O$85,15,0)),0,VLOOKUP($S$23,'TAR FIN'!$A$1:$O$85,15,0))</f>
        <v>53.48</v>
      </c>
      <c r="W23" s="6">
        <f>IF(ISERROR(VLOOKUP($T$23,'TAR FIN'!$A$1:$O$85,15,0)),0,VLOOKUP($T$23,'TAR FIN'!$A$1:$O$85,15,0))</f>
        <v>82.94</v>
      </c>
      <c r="X23" s="6">
        <f>IF(ISERROR(VLOOKUP($U$23,'TAR FIN'!$A$1:$O$85,15,0)),0,VLOOKUP($U$23,'TAR FIN'!$A$1:$O$85,15,0))</f>
        <v>310.5</v>
      </c>
      <c r="Y23" s="6">
        <f ca="1">('TUSD BE'!$AM$5+'TUSD BF'!$AM$5+'TUSD CVA'!$AM$5)*1</f>
        <v>53.617342293715417</v>
      </c>
      <c r="Z23" s="6">
        <f ca="1">('TUSD BE'!$AM$7+'TUSD BF'!$AM$7+'TUSD CVA'!$AM$7)*1</f>
        <v>91.42946115697444</v>
      </c>
      <c r="AA23" s="6">
        <f>('TE BE'!$AB$5+'TE BF'!$AB$5+'TE CVA'!$AB$5)*1</f>
        <v>221.79210547670309</v>
      </c>
      <c r="AB23" s="6">
        <f>$K$23*$V$23</f>
        <v>38238.199999999997</v>
      </c>
      <c r="AC23" s="6">
        <f>$M$23*$W$23</f>
        <v>2483.5553599999998</v>
      </c>
      <c r="AD23" s="6">
        <f>$O$23*$X$23</f>
        <v>9297.6119999999992</v>
      </c>
      <c r="AE23" s="6">
        <f ca="1">$K$23*$Y$23</f>
        <v>38336.39974000652</v>
      </c>
      <c r="AF23" s="6">
        <f ca="1">$M$23*$Z$23</f>
        <v>2737.7637848844424</v>
      </c>
      <c r="AG23" s="6">
        <f>$O$23*$AA$23</f>
        <v>6641.3428063943966</v>
      </c>
    </row>
    <row r="24" spans="1:33" ht="11.25" customHeight="1" x14ac:dyDescent="0.3">
      <c r="A24" s="4" t="s">
        <v>21</v>
      </c>
      <c r="B24" s="4" t="s">
        <v>33</v>
      </c>
      <c r="C24" s="4" t="s">
        <v>34</v>
      </c>
      <c r="D24" s="4" t="s">
        <v>32</v>
      </c>
      <c r="E24" s="4" t="s">
        <v>25</v>
      </c>
      <c r="F24" s="4" t="s">
        <v>25</v>
      </c>
      <c r="G24" s="4" t="s">
        <v>25</v>
      </c>
      <c r="H24" s="4" t="s">
        <v>35</v>
      </c>
      <c r="I24" s="5">
        <v>44743</v>
      </c>
      <c r="J24" s="6">
        <v>715</v>
      </c>
      <c r="K24" s="6">
        <v>715</v>
      </c>
      <c r="L24" s="6">
        <v>30.140999999999998</v>
      </c>
      <c r="M24" s="6">
        <v>30.140999999999998</v>
      </c>
      <c r="N24" s="6">
        <v>30.140999999999998</v>
      </c>
      <c r="O24" s="6">
        <v>30.140999999999998</v>
      </c>
      <c r="P24" s="6">
        <v>0</v>
      </c>
      <c r="Q24" s="4" t="s">
        <v>26</v>
      </c>
      <c r="R24" s="4">
        <v>0</v>
      </c>
      <c r="S24" s="6">
        <v>1</v>
      </c>
      <c r="T24" s="6">
        <v>35</v>
      </c>
      <c r="U24" s="6">
        <v>41</v>
      </c>
      <c r="V24" s="6">
        <f>IF(ISERROR(VLOOKUP($S$24,'TAR FIN'!$A$1:$O$85,15,0)),0,VLOOKUP($S$24,'TAR FIN'!$A$1:$O$85,15,0))</f>
        <v>53.48</v>
      </c>
      <c r="W24" s="6">
        <f>IF(ISERROR(VLOOKUP($T$24,'TAR FIN'!$A$1:$O$85,15,0)),0,VLOOKUP($T$24,'TAR FIN'!$A$1:$O$85,15,0))</f>
        <v>82.94</v>
      </c>
      <c r="X24" s="6">
        <f>IF(ISERROR(VLOOKUP($U$24,'TAR FIN'!$A$1:$O$85,15,0)),0,VLOOKUP($U$24,'TAR FIN'!$A$1:$O$85,15,0))</f>
        <v>310.5</v>
      </c>
      <c r="Y24" s="6">
        <f ca="1">('TUSD BE'!$AM$5+'TUSD BF'!$AM$5+'TUSD CVA'!$AM$5)*1</f>
        <v>53.617342293715417</v>
      </c>
      <c r="Z24" s="6">
        <f ca="1">('TUSD BE'!$AM$7+'TUSD BF'!$AM$7+'TUSD CVA'!$AM$7)*1</f>
        <v>91.42946115697444</v>
      </c>
      <c r="AA24" s="6">
        <f>('TE BE'!$AB$5+'TE BF'!$AB$5+'TE CVA'!$AB$5)*1</f>
        <v>221.79210547670309</v>
      </c>
      <c r="AB24" s="6">
        <f>$K$24*$V$24</f>
        <v>38238.199999999997</v>
      </c>
      <c r="AC24" s="6">
        <f>$M$24*$W$24</f>
        <v>2499.8945399999998</v>
      </c>
      <c r="AD24" s="6">
        <f>$O$24*$X$24</f>
        <v>9358.7804999999989</v>
      </c>
      <c r="AE24" s="6">
        <f ca="1">$K$24*$Y$24</f>
        <v>38336.39974000652</v>
      </c>
      <c r="AF24" s="6">
        <f ca="1">$M$24*$Z$24</f>
        <v>2755.7753887323665</v>
      </c>
      <c r="AG24" s="6">
        <f>$O$24*$AA$24</f>
        <v>6685.0358511733075</v>
      </c>
    </row>
    <row r="25" spans="1:33" ht="11.25" customHeight="1" x14ac:dyDescent="0.3">
      <c r="A25" s="4" t="s">
        <v>21</v>
      </c>
      <c r="B25" s="4" t="s">
        <v>33</v>
      </c>
      <c r="C25" s="4" t="s">
        <v>34</v>
      </c>
      <c r="D25" s="4" t="s">
        <v>32</v>
      </c>
      <c r="E25" s="4" t="s">
        <v>25</v>
      </c>
      <c r="F25" s="4" t="s">
        <v>25</v>
      </c>
      <c r="G25" s="4" t="s">
        <v>25</v>
      </c>
      <c r="H25" s="4" t="s">
        <v>35</v>
      </c>
      <c r="I25" s="5">
        <v>44774</v>
      </c>
      <c r="J25" s="6">
        <v>715</v>
      </c>
      <c r="K25" s="6">
        <v>715</v>
      </c>
      <c r="L25" s="6">
        <v>31.896000000000001</v>
      </c>
      <c r="M25" s="6">
        <v>31.896000000000001</v>
      </c>
      <c r="N25" s="6">
        <v>31.896000000000001</v>
      </c>
      <c r="O25" s="6">
        <v>31.896000000000001</v>
      </c>
      <c r="P25" s="6">
        <v>0</v>
      </c>
      <c r="Q25" s="4" t="s">
        <v>26</v>
      </c>
      <c r="R25" s="4">
        <v>0</v>
      </c>
      <c r="S25" s="6">
        <v>1</v>
      </c>
      <c r="T25" s="6">
        <v>35</v>
      </c>
      <c r="U25" s="6">
        <v>41</v>
      </c>
      <c r="V25" s="6">
        <f>IF(ISERROR(VLOOKUP($S$25,'TAR FIN'!$A$1:$O$85,15,0)),0,VLOOKUP($S$25,'TAR FIN'!$A$1:$O$85,15,0))</f>
        <v>53.48</v>
      </c>
      <c r="W25" s="6">
        <f>IF(ISERROR(VLOOKUP($T$25,'TAR FIN'!$A$1:$O$85,15,0)),0,VLOOKUP($T$25,'TAR FIN'!$A$1:$O$85,15,0))</f>
        <v>82.94</v>
      </c>
      <c r="X25" s="6">
        <f>IF(ISERROR(VLOOKUP($U$25,'TAR FIN'!$A$1:$O$85,15,0)),0,VLOOKUP($U$25,'TAR FIN'!$A$1:$O$85,15,0))</f>
        <v>310.5</v>
      </c>
      <c r="Y25" s="6">
        <f ca="1">('TUSD BE'!$AM$5+'TUSD BF'!$AM$5+'TUSD CVA'!$AM$5)*1</f>
        <v>53.617342293715417</v>
      </c>
      <c r="Z25" s="6">
        <f ca="1">('TUSD BE'!$AM$7+'TUSD BF'!$AM$7+'TUSD CVA'!$AM$7)*1</f>
        <v>91.42946115697444</v>
      </c>
      <c r="AA25" s="6">
        <f>('TE BE'!$AB$5+'TE BF'!$AB$5+'TE CVA'!$AB$5)*1</f>
        <v>221.79210547670309</v>
      </c>
      <c r="AB25" s="6">
        <f>$K$25*$V$25</f>
        <v>38238.199999999997</v>
      </c>
      <c r="AC25" s="6">
        <f>$M$25*$W$25</f>
        <v>2645.45424</v>
      </c>
      <c r="AD25" s="6">
        <f>$O$25*$X$25</f>
        <v>9903.7080000000005</v>
      </c>
      <c r="AE25" s="6">
        <f ca="1">$K$25*$Y$25</f>
        <v>38336.39974000652</v>
      </c>
      <c r="AF25" s="6">
        <f ca="1">$M$25*$Z$25</f>
        <v>2916.234093062857</v>
      </c>
      <c r="AG25" s="6">
        <f>$O$25*$AA$25</f>
        <v>7074.2809962849215</v>
      </c>
    </row>
    <row r="26" spans="1:33" ht="11.25" customHeight="1" x14ac:dyDescent="0.3">
      <c r="A26" s="4" t="s">
        <v>21</v>
      </c>
      <c r="B26" s="4" t="s">
        <v>33</v>
      </c>
      <c r="C26" s="4" t="s">
        <v>37</v>
      </c>
      <c r="D26" s="4" t="s">
        <v>32</v>
      </c>
      <c r="E26" s="4" t="s">
        <v>25</v>
      </c>
      <c r="F26" s="4" t="s">
        <v>25</v>
      </c>
      <c r="G26" s="4" t="s">
        <v>25</v>
      </c>
      <c r="H26" s="4" t="s">
        <v>36</v>
      </c>
      <c r="I26" s="5">
        <v>44440</v>
      </c>
      <c r="J26" s="6">
        <v>0</v>
      </c>
      <c r="K26" s="6">
        <v>0</v>
      </c>
      <c r="L26" s="6">
        <v>609.14499999999998</v>
      </c>
      <c r="M26" s="6">
        <v>609.14499999999998</v>
      </c>
      <c r="N26" s="6">
        <v>609.14499999999998</v>
      </c>
      <c r="O26" s="6">
        <v>609.14499999999998</v>
      </c>
      <c r="P26" s="6">
        <v>0</v>
      </c>
      <c r="Q26" s="4" t="s">
        <v>26</v>
      </c>
      <c r="R26" s="4">
        <v>0</v>
      </c>
      <c r="S26" s="6">
        <v>0</v>
      </c>
      <c r="T26" s="6">
        <v>14</v>
      </c>
      <c r="U26" s="6">
        <v>44</v>
      </c>
      <c r="V26" s="6">
        <f>IF(ISERROR(VLOOKUP($S$26,'TAR FIN'!$A$1:$O$85,15,0)),0,VLOOKUP($S$26,'TAR FIN'!$A$1:$O$85,15,0))</f>
        <v>0</v>
      </c>
      <c r="W26" s="6">
        <f>IF(ISERROR(VLOOKUP($T$26,'TAR FIN'!$A$1:$O$85,15,0)),0,VLOOKUP($T$26,'TAR FIN'!$A$1:$O$85,15,0))</f>
        <v>82.94</v>
      </c>
      <c r="X26" s="6">
        <f>IF(ISERROR(VLOOKUP($U$26,'TAR FIN'!$A$1:$O$85,15,0)),0,VLOOKUP($U$26,'TAR FIN'!$A$1:$O$85,15,0))</f>
        <v>310.5</v>
      </c>
      <c r="Y26" s="6"/>
      <c r="Z26" s="6">
        <f ca="1">('TUSD BE'!$AM$12+'TUSD BF'!$AM$12+'TUSD CVA'!$AM$12)*1</f>
        <v>91.42946115697444</v>
      </c>
      <c r="AA26" s="6">
        <f>('TE BE'!$AB$6+'TE BF'!$AB$6+'TE CVA'!$AB$6)*1</f>
        <v>221.79210547670309</v>
      </c>
      <c r="AB26" s="6">
        <f>$K$26*$V$26</f>
        <v>0</v>
      </c>
      <c r="AC26" s="6">
        <f>$M$26*$W$26</f>
        <v>50522.486299999997</v>
      </c>
      <c r="AD26" s="6">
        <f>$O$26*$X$26</f>
        <v>189139.52249999999</v>
      </c>
      <c r="AE26" s="6">
        <f>$K$26*$Y$26</f>
        <v>0</v>
      </c>
      <c r="AF26" s="6">
        <f ca="1">$M$26*$Z$26</f>
        <v>55693.79911646519</v>
      </c>
      <c r="AG26" s="6">
        <f>$O$26*$AA$26</f>
        <v>135103.5520906063</v>
      </c>
    </row>
    <row r="27" spans="1:33" ht="11.25" customHeight="1" x14ac:dyDescent="0.3">
      <c r="A27" s="4" t="s">
        <v>21</v>
      </c>
      <c r="B27" s="4" t="s">
        <v>33</v>
      </c>
      <c r="C27" s="4" t="s">
        <v>37</v>
      </c>
      <c r="D27" s="4" t="s">
        <v>32</v>
      </c>
      <c r="E27" s="4" t="s">
        <v>25</v>
      </c>
      <c r="F27" s="4" t="s">
        <v>25</v>
      </c>
      <c r="G27" s="4" t="s">
        <v>25</v>
      </c>
      <c r="H27" s="4" t="s">
        <v>36</v>
      </c>
      <c r="I27" s="5">
        <v>44470</v>
      </c>
      <c r="J27" s="6">
        <v>0</v>
      </c>
      <c r="K27" s="6">
        <v>0</v>
      </c>
      <c r="L27" s="6">
        <v>625.97199999999998</v>
      </c>
      <c r="M27" s="6">
        <v>625.97199999999998</v>
      </c>
      <c r="N27" s="6">
        <v>625.97199999999998</v>
      </c>
      <c r="O27" s="6">
        <v>625.97199999999998</v>
      </c>
      <c r="P27" s="6">
        <v>0</v>
      </c>
      <c r="Q27" s="4" t="s">
        <v>26</v>
      </c>
      <c r="R27" s="4">
        <v>0</v>
      </c>
      <c r="S27" s="6">
        <v>0</v>
      </c>
      <c r="T27" s="6">
        <v>14</v>
      </c>
      <c r="U27" s="6">
        <v>44</v>
      </c>
      <c r="V27" s="6">
        <f>IF(ISERROR(VLOOKUP($S$27,'TAR FIN'!$A$1:$O$85,15,0)),0,VLOOKUP($S$27,'TAR FIN'!$A$1:$O$85,15,0))</f>
        <v>0</v>
      </c>
      <c r="W27" s="6">
        <f>IF(ISERROR(VLOOKUP($T$27,'TAR FIN'!$A$1:$O$85,15,0)),0,VLOOKUP($T$27,'TAR FIN'!$A$1:$O$85,15,0))</f>
        <v>82.94</v>
      </c>
      <c r="X27" s="6">
        <f>IF(ISERROR(VLOOKUP($U$27,'TAR FIN'!$A$1:$O$85,15,0)),0,VLOOKUP($U$27,'TAR FIN'!$A$1:$O$85,15,0))</f>
        <v>310.5</v>
      </c>
      <c r="Y27" s="6"/>
      <c r="Z27" s="6">
        <f ca="1">('TUSD BE'!$AM$12+'TUSD BF'!$AM$12+'TUSD CVA'!$AM$12)*1</f>
        <v>91.42946115697444</v>
      </c>
      <c r="AA27" s="6">
        <f>('TE BE'!$AB$6+'TE BF'!$AB$6+'TE CVA'!$AB$6)*1</f>
        <v>221.79210547670309</v>
      </c>
      <c r="AB27" s="6">
        <f>$K$27*$V$27</f>
        <v>0</v>
      </c>
      <c r="AC27" s="6">
        <f>$M$27*$W$27</f>
        <v>51918.117679999996</v>
      </c>
      <c r="AD27" s="6">
        <f>$O$27*$X$27</f>
        <v>194364.30599999998</v>
      </c>
      <c r="AE27" s="6">
        <f>$K$27*$Y$27</f>
        <v>0</v>
      </c>
      <c r="AF27" s="6">
        <f ca="1">$M$27*$Z$27</f>
        <v>57232.282659353601</v>
      </c>
      <c r="AG27" s="6">
        <f>$O$27*$AA$27</f>
        <v>138835.64784946278</v>
      </c>
    </row>
    <row r="28" spans="1:33" ht="11.25" customHeight="1" x14ac:dyDescent="0.3">
      <c r="A28" s="4" t="s">
        <v>21</v>
      </c>
      <c r="B28" s="4" t="s">
        <v>33</v>
      </c>
      <c r="C28" s="4" t="s">
        <v>37</v>
      </c>
      <c r="D28" s="4" t="s">
        <v>32</v>
      </c>
      <c r="E28" s="4" t="s">
        <v>25</v>
      </c>
      <c r="F28" s="4" t="s">
        <v>25</v>
      </c>
      <c r="G28" s="4" t="s">
        <v>25</v>
      </c>
      <c r="H28" s="4" t="s">
        <v>36</v>
      </c>
      <c r="I28" s="5">
        <v>44501</v>
      </c>
      <c r="J28" s="6">
        <v>0</v>
      </c>
      <c r="K28" s="6">
        <v>0</v>
      </c>
      <c r="L28" s="6">
        <v>651.49599999999998</v>
      </c>
      <c r="M28" s="6">
        <v>651.49599999999998</v>
      </c>
      <c r="N28" s="6">
        <v>651.49599999999998</v>
      </c>
      <c r="O28" s="6">
        <v>651.49599999999998</v>
      </c>
      <c r="P28" s="6">
        <v>0</v>
      </c>
      <c r="Q28" s="4" t="s">
        <v>26</v>
      </c>
      <c r="R28" s="4">
        <v>0</v>
      </c>
      <c r="S28" s="6">
        <v>0</v>
      </c>
      <c r="T28" s="6">
        <v>14</v>
      </c>
      <c r="U28" s="6">
        <v>44</v>
      </c>
      <c r="V28" s="6">
        <f>IF(ISERROR(VLOOKUP($S$28,'TAR FIN'!$A$1:$O$85,15,0)),0,VLOOKUP($S$28,'TAR FIN'!$A$1:$O$85,15,0))</f>
        <v>0</v>
      </c>
      <c r="W28" s="6">
        <f>IF(ISERROR(VLOOKUP($T$28,'TAR FIN'!$A$1:$O$85,15,0)),0,VLOOKUP($T$28,'TAR FIN'!$A$1:$O$85,15,0))</f>
        <v>82.94</v>
      </c>
      <c r="X28" s="6">
        <f>IF(ISERROR(VLOOKUP($U$28,'TAR FIN'!$A$1:$O$85,15,0)),0,VLOOKUP($U$28,'TAR FIN'!$A$1:$O$85,15,0))</f>
        <v>310.5</v>
      </c>
      <c r="Y28" s="6"/>
      <c r="Z28" s="6">
        <f ca="1">('TUSD BE'!$AM$12+'TUSD BF'!$AM$12+'TUSD CVA'!$AM$12)*1</f>
        <v>91.42946115697444</v>
      </c>
      <c r="AA28" s="6">
        <f>('TE BE'!$AB$6+'TE BF'!$AB$6+'TE CVA'!$AB$6)*1</f>
        <v>221.79210547670309</v>
      </c>
      <c r="AB28" s="6">
        <f>$K$28*$V$28</f>
        <v>0</v>
      </c>
      <c r="AC28" s="6">
        <f>$M$28*$W$28</f>
        <v>54035.078239999995</v>
      </c>
      <c r="AD28" s="6">
        <f>$O$28*$X$28</f>
        <v>202289.508</v>
      </c>
      <c r="AE28" s="6">
        <f>$K$28*$Y$28</f>
        <v>0</v>
      </c>
      <c r="AF28" s="6">
        <f ca="1">$M$28*$Z$28</f>
        <v>59565.928225924217</v>
      </c>
      <c r="AG28" s="6">
        <f>$O$28*$AA$28</f>
        <v>144496.66954965016</v>
      </c>
    </row>
    <row r="29" spans="1:33" ht="11.25" customHeight="1" x14ac:dyDescent="0.3">
      <c r="A29" s="4" t="s">
        <v>21</v>
      </c>
      <c r="B29" s="4" t="s">
        <v>33</v>
      </c>
      <c r="C29" s="4" t="s">
        <v>37</v>
      </c>
      <c r="D29" s="4" t="s">
        <v>32</v>
      </c>
      <c r="E29" s="4" t="s">
        <v>25</v>
      </c>
      <c r="F29" s="4" t="s">
        <v>25</v>
      </c>
      <c r="G29" s="4" t="s">
        <v>25</v>
      </c>
      <c r="H29" s="4" t="s">
        <v>36</v>
      </c>
      <c r="I29" s="5">
        <v>44531</v>
      </c>
      <c r="J29" s="6">
        <v>0</v>
      </c>
      <c r="K29" s="6">
        <v>0</v>
      </c>
      <c r="L29" s="6">
        <v>619.91499999999996</v>
      </c>
      <c r="M29" s="6">
        <v>619.91499999999996</v>
      </c>
      <c r="N29" s="6">
        <v>619.91499999999996</v>
      </c>
      <c r="O29" s="6">
        <v>619.91499999999996</v>
      </c>
      <c r="P29" s="6">
        <v>0</v>
      </c>
      <c r="Q29" s="4" t="s">
        <v>26</v>
      </c>
      <c r="R29" s="4">
        <v>0</v>
      </c>
      <c r="S29" s="6">
        <v>0</v>
      </c>
      <c r="T29" s="6">
        <v>14</v>
      </c>
      <c r="U29" s="6">
        <v>44</v>
      </c>
      <c r="V29" s="6">
        <f>IF(ISERROR(VLOOKUP($S$29,'TAR FIN'!$A$1:$O$85,15,0)),0,VLOOKUP($S$29,'TAR FIN'!$A$1:$O$85,15,0))</f>
        <v>0</v>
      </c>
      <c r="W29" s="6">
        <f>IF(ISERROR(VLOOKUP($T$29,'TAR FIN'!$A$1:$O$85,15,0)),0,VLOOKUP($T$29,'TAR FIN'!$A$1:$O$85,15,0))</f>
        <v>82.94</v>
      </c>
      <c r="X29" s="6">
        <f>IF(ISERROR(VLOOKUP($U$29,'TAR FIN'!$A$1:$O$85,15,0)),0,VLOOKUP($U$29,'TAR FIN'!$A$1:$O$85,15,0))</f>
        <v>310.5</v>
      </c>
      <c r="Y29" s="6"/>
      <c r="Z29" s="6">
        <f ca="1">('TUSD BE'!$AM$12+'TUSD BF'!$AM$12+'TUSD CVA'!$AM$12)*1</f>
        <v>91.42946115697444</v>
      </c>
      <c r="AA29" s="6">
        <f>('TE BE'!$AB$6+'TE BF'!$AB$6+'TE CVA'!$AB$6)*1</f>
        <v>221.79210547670309</v>
      </c>
      <c r="AB29" s="6">
        <f>$K$29*$V$29</f>
        <v>0</v>
      </c>
      <c r="AC29" s="6">
        <f>$M$29*$W$29</f>
        <v>51415.750099999997</v>
      </c>
      <c r="AD29" s="6">
        <f>$O$29*$X$29</f>
        <v>192483.60749999998</v>
      </c>
      <c r="AE29" s="6">
        <f>$K$29*$Y$29</f>
        <v>0</v>
      </c>
      <c r="AF29" s="6">
        <f ca="1">$M$29*$Z$29</f>
        <v>56678.494413125809</v>
      </c>
      <c r="AG29" s="6">
        <f>$O$29*$AA$29</f>
        <v>137492.25306659038</v>
      </c>
    </row>
    <row r="30" spans="1:33" ht="11.25" customHeight="1" x14ac:dyDescent="0.3">
      <c r="A30" s="4" t="s">
        <v>21</v>
      </c>
      <c r="B30" s="4" t="s">
        <v>33</v>
      </c>
      <c r="C30" s="4" t="s">
        <v>37</v>
      </c>
      <c r="D30" s="4" t="s">
        <v>32</v>
      </c>
      <c r="E30" s="4" t="s">
        <v>25</v>
      </c>
      <c r="F30" s="4" t="s">
        <v>25</v>
      </c>
      <c r="G30" s="4" t="s">
        <v>25</v>
      </c>
      <c r="H30" s="4" t="s">
        <v>36</v>
      </c>
      <c r="I30" s="5">
        <v>44562</v>
      </c>
      <c r="J30" s="6">
        <v>0</v>
      </c>
      <c r="K30" s="6">
        <v>0</v>
      </c>
      <c r="L30" s="6">
        <v>635.73900000000003</v>
      </c>
      <c r="M30" s="6">
        <v>635.73900000000003</v>
      </c>
      <c r="N30" s="6">
        <v>635.73900000000003</v>
      </c>
      <c r="O30" s="6">
        <v>635.73900000000003</v>
      </c>
      <c r="P30" s="6">
        <v>0</v>
      </c>
      <c r="Q30" s="4" t="s">
        <v>26</v>
      </c>
      <c r="R30" s="4">
        <v>0</v>
      </c>
      <c r="S30" s="6">
        <v>0</v>
      </c>
      <c r="T30" s="6">
        <v>14</v>
      </c>
      <c r="U30" s="6">
        <v>44</v>
      </c>
      <c r="V30" s="6">
        <f>IF(ISERROR(VLOOKUP($S$30,'TAR FIN'!$A$1:$O$85,15,0)),0,VLOOKUP($S$30,'TAR FIN'!$A$1:$O$85,15,0))</f>
        <v>0</v>
      </c>
      <c r="W30" s="6">
        <f>IF(ISERROR(VLOOKUP($T$30,'TAR FIN'!$A$1:$O$85,15,0)),0,VLOOKUP($T$30,'TAR FIN'!$A$1:$O$85,15,0))</f>
        <v>82.94</v>
      </c>
      <c r="X30" s="6">
        <f>IF(ISERROR(VLOOKUP($U$30,'TAR FIN'!$A$1:$O$85,15,0)),0,VLOOKUP($U$30,'TAR FIN'!$A$1:$O$85,15,0))</f>
        <v>310.5</v>
      </c>
      <c r="Y30" s="6"/>
      <c r="Z30" s="6">
        <f ca="1">('TUSD BE'!$AM$12+'TUSD BF'!$AM$12+'TUSD CVA'!$AM$12)*1</f>
        <v>91.42946115697444</v>
      </c>
      <c r="AA30" s="6">
        <f>('TE BE'!$AB$6+'TE BF'!$AB$6+'TE CVA'!$AB$6)*1</f>
        <v>221.79210547670309</v>
      </c>
      <c r="AB30" s="6">
        <f>$K$30*$V$30</f>
        <v>0</v>
      </c>
      <c r="AC30" s="6">
        <f>$M$30*$W$30</f>
        <v>52728.192660000001</v>
      </c>
      <c r="AD30" s="6">
        <f>$O$30*$X$30</f>
        <v>197396.9595</v>
      </c>
      <c r="AE30" s="6">
        <f>$K$30*$Y$30</f>
        <v>0</v>
      </c>
      <c r="AF30" s="6">
        <f ca="1">$M$30*$Z$30</f>
        <v>58125.274206473776</v>
      </c>
      <c r="AG30" s="6">
        <f>$O$30*$AA$30</f>
        <v>141001.89134365376</v>
      </c>
    </row>
    <row r="31" spans="1:33" ht="11.25" customHeight="1" x14ac:dyDescent="0.3">
      <c r="A31" s="4" t="s">
        <v>21</v>
      </c>
      <c r="B31" s="4" t="s">
        <v>33</v>
      </c>
      <c r="C31" s="4" t="s">
        <v>37</v>
      </c>
      <c r="D31" s="4" t="s">
        <v>32</v>
      </c>
      <c r="E31" s="4" t="s">
        <v>25</v>
      </c>
      <c r="F31" s="4" t="s">
        <v>25</v>
      </c>
      <c r="G31" s="4" t="s">
        <v>25</v>
      </c>
      <c r="H31" s="4" t="s">
        <v>36</v>
      </c>
      <c r="I31" s="5">
        <v>44593</v>
      </c>
      <c r="J31" s="6">
        <v>0</v>
      </c>
      <c r="K31" s="6">
        <v>0</v>
      </c>
      <c r="L31" s="6">
        <v>546.24300000000005</v>
      </c>
      <c r="M31" s="6">
        <v>546.24300000000005</v>
      </c>
      <c r="N31" s="6">
        <v>546.24300000000005</v>
      </c>
      <c r="O31" s="6">
        <v>546.24300000000005</v>
      </c>
      <c r="P31" s="6">
        <v>0</v>
      </c>
      <c r="Q31" s="4" t="s">
        <v>26</v>
      </c>
      <c r="R31" s="4">
        <v>0</v>
      </c>
      <c r="S31" s="6">
        <v>0</v>
      </c>
      <c r="T31" s="6">
        <v>14</v>
      </c>
      <c r="U31" s="6">
        <v>44</v>
      </c>
      <c r="V31" s="6">
        <f>IF(ISERROR(VLOOKUP($S$31,'TAR FIN'!$A$1:$O$85,15,0)),0,VLOOKUP($S$31,'TAR FIN'!$A$1:$O$85,15,0))</f>
        <v>0</v>
      </c>
      <c r="W31" s="6">
        <f>IF(ISERROR(VLOOKUP($T$31,'TAR FIN'!$A$1:$O$85,15,0)),0,VLOOKUP($T$31,'TAR FIN'!$A$1:$O$85,15,0))</f>
        <v>82.94</v>
      </c>
      <c r="X31" s="6">
        <f>IF(ISERROR(VLOOKUP($U$31,'TAR FIN'!$A$1:$O$85,15,0)),0,VLOOKUP($U$31,'TAR FIN'!$A$1:$O$85,15,0))</f>
        <v>310.5</v>
      </c>
      <c r="Y31" s="6"/>
      <c r="Z31" s="6">
        <f ca="1">('TUSD BE'!$AM$12+'TUSD BF'!$AM$12+'TUSD CVA'!$AM$12)*1</f>
        <v>91.42946115697444</v>
      </c>
      <c r="AA31" s="6">
        <f>('TE BE'!$AB$6+'TE BF'!$AB$6+'TE CVA'!$AB$6)*1</f>
        <v>221.79210547670309</v>
      </c>
      <c r="AB31" s="6">
        <f>$K$31*$V$31</f>
        <v>0</v>
      </c>
      <c r="AC31" s="6">
        <f>$M$31*$W$31</f>
        <v>45305.394420000004</v>
      </c>
      <c r="AD31" s="6">
        <f>$O$31*$X$31</f>
        <v>169608.45150000002</v>
      </c>
      <c r="AE31" s="6">
        <f>$K$31*$Y$31</f>
        <v>0</v>
      </c>
      <c r="AF31" s="6">
        <f ca="1">$M$31*$Z$31</f>
        <v>49942.703150769194</v>
      </c>
      <c r="AG31" s="6">
        <f>$O$31*$AA$31</f>
        <v>121152.38507191073</v>
      </c>
    </row>
    <row r="32" spans="1:33" ht="11.25" customHeight="1" x14ac:dyDescent="0.3">
      <c r="A32" s="4" t="s">
        <v>21</v>
      </c>
      <c r="B32" s="4" t="s">
        <v>33</v>
      </c>
      <c r="C32" s="4" t="s">
        <v>37</v>
      </c>
      <c r="D32" s="4" t="s">
        <v>32</v>
      </c>
      <c r="E32" s="4" t="s">
        <v>25</v>
      </c>
      <c r="F32" s="4" t="s">
        <v>25</v>
      </c>
      <c r="G32" s="4" t="s">
        <v>25</v>
      </c>
      <c r="H32" s="4" t="s">
        <v>36</v>
      </c>
      <c r="I32" s="5">
        <v>44621</v>
      </c>
      <c r="J32" s="6">
        <v>0</v>
      </c>
      <c r="K32" s="6">
        <v>0</v>
      </c>
      <c r="L32" s="6">
        <v>658.04</v>
      </c>
      <c r="M32" s="6">
        <v>658.04</v>
      </c>
      <c r="N32" s="6">
        <v>658.04</v>
      </c>
      <c r="O32" s="6">
        <v>658.04</v>
      </c>
      <c r="P32" s="6">
        <v>0</v>
      </c>
      <c r="Q32" s="4" t="s">
        <v>26</v>
      </c>
      <c r="R32" s="4">
        <v>0</v>
      </c>
      <c r="S32" s="6">
        <v>0</v>
      </c>
      <c r="T32" s="6">
        <v>14</v>
      </c>
      <c r="U32" s="6">
        <v>44</v>
      </c>
      <c r="V32" s="6">
        <f>IF(ISERROR(VLOOKUP($S$32,'TAR FIN'!$A$1:$O$85,15,0)),0,VLOOKUP($S$32,'TAR FIN'!$A$1:$O$85,15,0))</f>
        <v>0</v>
      </c>
      <c r="W32" s="6">
        <f>IF(ISERROR(VLOOKUP($T$32,'TAR FIN'!$A$1:$O$85,15,0)),0,VLOOKUP($T$32,'TAR FIN'!$A$1:$O$85,15,0))</f>
        <v>82.94</v>
      </c>
      <c r="X32" s="6">
        <f>IF(ISERROR(VLOOKUP($U$32,'TAR FIN'!$A$1:$O$85,15,0)),0,VLOOKUP($U$32,'TAR FIN'!$A$1:$O$85,15,0))</f>
        <v>310.5</v>
      </c>
      <c r="Y32" s="6"/>
      <c r="Z32" s="6">
        <f ca="1">('TUSD BE'!$AM$12+'TUSD BF'!$AM$12+'TUSD CVA'!$AM$12)*1</f>
        <v>91.42946115697444</v>
      </c>
      <c r="AA32" s="6">
        <f>('TE BE'!$AB$6+'TE BF'!$AB$6+'TE CVA'!$AB$6)*1</f>
        <v>221.79210547670309</v>
      </c>
      <c r="AB32" s="6">
        <f>$K$32*$V$32</f>
        <v>0</v>
      </c>
      <c r="AC32" s="6">
        <f>$M$32*$W$32</f>
        <v>54577.837599999999</v>
      </c>
      <c r="AD32" s="6">
        <f>$O$32*$X$32</f>
        <v>204321.41999999998</v>
      </c>
      <c r="AE32" s="6">
        <f>$K$32*$Y$32</f>
        <v>0</v>
      </c>
      <c r="AF32" s="6">
        <f ca="1">$M$32*$Z$32</f>
        <v>60164.242619735458</v>
      </c>
      <c r="AG32" s="6">
        <f>$O$32*$AA$32</f>
        <v>145948.07708788969</v>
      </c>
    </row>
    <row r="33" spans="1:33" ht="11.25" customHeight="1" x14ac:dyDescent="0.3">
      <c r="A33" s="4" t="s">
        <v>21</v>
      </c>
      <c r="B33" s="4" t="s">
        <v>33</v>
      </c>
      <c r="C33" s="4" t="s">
        <v>37</v>
      </c>
      <c r="D33" s="4" t="s">
        <v>32</v>
      </c>
      <c r="E33" s="4" t="s">
        <v>25</v>
      </c>
      <c r="F33" s="4" t="s">
        <v>25</v>
      </c>
      <c r="G33" s="4" t="s">
        <v>25</v>
      </c>
      <c r="H33" s="4" t="s">
        <v>36</v>
      </c>
      <c r="I33" s="5">
        <v>44652</v>
      </c>
      <c r="J33" s="6">
        <v>0</v>
      </c>
      <c r="K33" s="6">
        <v>0</v>
      </c>
      <c r="L33" s="6">
        <v>640.12900000000002</v>
      </c>
      <c r="M33" s="6">
        <v>640.12900000000002</v>
      </c>
      <c r="N33" s="6">
        <v>640.12900000000002</v>
      </c>
      <c r="O33" s="6">
        <v>640.12900000000002</v>
      </c>
      <c r="P33" s="6">
        <v>0</v>
      </c>
      <c r="Q33" s="4" t="s">
        <v>26</v>
      </c>
      <c r="R33" s="4">
        <v>0</v>
      </c>
      <c r="S33" s="6">
        <v>0</v>
      </c>
      <c r="T33" s="6">
        <v>14</v>
      </c>
      <c r="U33" s="6">
        <v>44</v>
      </c>
      <c r="V33" s="6">
        <f>IF(ISERROR(VLOOKUP($S$33,'TAR FIN'!$A$1:$O$85,15,0)),0,VLOOKUP($S$33,'TAR FIN'!$A$1:$O$85,15,0))</f>
        <v>0</v>
      </c>
      <c r="W33" s="6">
        <f>IF(ISERROR(VLOOKUP($T$33,'TAR FIN'!$A$1:$O$85,15,0)),0,VLOOKUP($T$33,'TAR FIN'!$A$1:$O$85,15,0))</f>
        <v>82.94</v>
      </c>
      <c r="X33" s="6">
        <f>IF(ISERROR(VLOOKUP($U$33,'TAR FIN'!$A$1:$O$85,15,0)),0,VLOOKUP($U$33,'TAR FIN'!$A$1:$O$85,15,0))</f>
        <v>310.5</v>
      </c>
      <c r="Y33" s="6"/>
      <c r="Z33" s="6">
        <f ca="1">('TUSD BE'!$AM$12+'TUSD BF'!$AM$12+'TUSD CVA'!$AM$12)*1</f>
        <v>91.42946115697444</v>
      </c>
      <c r="AA33" s="6">
        <f>('TE BE'!$AB$6+'TE BF'!$AB$6+'TE CVA'!$AB$6)*1</f>
        <v>221.79210547670309</v>
      </c>
      <c r="AB33" s="6">
        <f>$K$33*$V$33</f>
        <v>0</v>
      </c>
      <c r="AC33" s="6">
        <f>$M$33*$W$33</f>
        <v>53092.29926</v>
      </c>
      <c r="AD33" s="6">
        <f>$O$33*$X$33</f>
        <v>198760.0545</v>
      </c>
      <c r="AE33" s="6">
        <f>$K$33*$Y$33</f>
        <v>0</v>
      </c>
      <c r="AF33" s="6">
        <f ca="1">$M$33*$Z$33</f>
        <v>58526.649540952894</v>
      </c>
      <c r="AG33" s="6">
        <f>$O$33*$AA$33</f>
        <v>141975.55868669649</v>
      </c>
    </row>
    <row r="34" spans="1:33" ht="11.25" customHeight="1" x14ac:dyDescent="0.3">
      <c r="A34" s="4" t="s">
        <v>21</v>
      </c>
      <c r="B34" s="4" t="s">
        <v>33</v>
      </c>
      <c r="C34" s="4" t="s">
        <v>37</v>
      </c>
      <c r="D34" s="4" t="s">
        <v>32</v>
      </c>
      <c r="E34" s="4" t="s">
        <v>25</v>
      </c>
      <c r="F34" s="4" t="s">
        <v>25</v>
      </c>
      <c r="G34" s="4" t="s">
        <v>25</v>
      </c>
      <c r="H34" s="4" t="s">
        <v>36</v>
      </c>
      <c r="I34" s="5">
        <v>44682</v>
      </c>
      <c r="J34" s="6">
        <v>0</v>
      </c>
      <c r="K34" s="6">
        <v>0</v>
      </c>
      <c r="L34" s="6">
        <v>681.37400000000002</v>
      </c>
      <c r="M34" s="6">
        <v>681.37400000000002</v>
      </c>
      <c r="N34" s="6">
        <v>681.37400000000002</v>
      </c>
      <c r="O34" s="6">
        <v>681.37400000000002</v>
      </c>
      <c r="P34" s="6">
        <v>0</v>
      </c>
      <c r="Q34" s="4" t="s">
        <v>26</v>
      </c>
      <c r="R34" s="4">
        <v>0</v>
      </c>
      <c r="S34" s="6">
        <v>0</v>
      </c>
      <c r="T34" s="6">
        <v>14</v>
      </c>
      <c r="U34" s="6">
        <v>44</v>
      </c>
      <c r="V34" s="6">
        <f>IF(ISERROR(VLOOKUP($S$34,'TAR FIN'!$A$1:$O$85,15,0)),0,VLOOKUP($S$34,'TAR FIN'!$A$1:$O$85,15,0))</f>
        <v>0</v>
      </c>
      <c r="W34" s="6">
        <f>IF(ISERROR(VLOOKUP($T$34,'TAR FIN'!$A$1:$O$85,15,0)),0,VLOOKUP($T$34,'TAR FIN'!$A$1:$O$85,15,0))</f>
        <v>82.94</v>
      </c>
      <c r="X34" s="6">
        <f>IF(ISERROR(VLOOKUP($U$34,'TAR FIN'!$A$1:$O$85,15,0)),0,VLOOKUP($U$34,'TAR FIN'!$A$1:$O$85,15,0))</f>
        <v>310.5</v>
      </c>
      <c r="Y34" s="6"/>
      <c r="Z34" s="6">
        <f ca="1">('TUSD BE'!$AM$12+'TUSD BF'!$AM$12+'TUSD CVA'!$AM$12)*1</f>
        <v>91.42946115697444</v>
      </c>
      <c r="AA34" s="6">
        <f>('TE BE'!$AB$6+'TE BF'!$AB$6+'TE CVA'!$AB$6)*1</f>
        <v>221.79210547670309</v>
      </c>
      <c r="AB34" s="6">
        <f>$K$34*$V$34</f>
        <v>0</v>
      </c>
      <c r="AC34" s="6">
        <f>$M$34*$W$34</f>
        <v>56513.15956</v>
      </c>
      <c r="AD34" s="6">
        <f>$O$34*$X$34</f>
        <v>211566.62700000001</v>
      </c>
      <c r="AE34" s="6">
        <f>$K$34*$Y$34</f>
        <v>0</v>
      </c>
      <c r="AF34" s="6">
        <f ca="1">$M$34*$Z$34</f>
        <v>62297.657666372303</v>
      </c>
      <c r="AG34" s="6">
        <f>$O$34*$AA$34</f>
        <v>151123.37407708311</v>
      </c>
    </row>
    <row r="35" spans="1:33" ht="11.25" customHeight="1" x14ac:dyDescent="0.3">
      <c r="A35" s="4" t="s">
        <v>21</v>
      </c>
      <c r="B35" s="4" t="s">
        <v>33</v>
      </c>
      <c r="C35" s="4" t="s">
        <v>37</v>
      </c>
      <c r="D35" s="4" t="s">
        <v>32</v>
      </c>
      <c r="E35" s="4" t="s">
        <v>25</v>
      </c>
      <c r="F35" s="4" t="s">
        <v>25</v>
      </c>
      <c r="G35" s="4" t="s">
        <v>25</v>
      </c>
      <c r="H35" s="4" t="s">
        <v>36</v>
      </c>
      <c r="I35" s="5">
        <v>44713</v>
      </c>
      <c r="J35" s="6">
        <v>0</v>
      </c>
      <c r="K35" s="6">
        <v>0</v>
      </c>
      <c r="L35" s="6">
        <v>645.54300000000001</v>
      </c>
      <c r="M35" s="6">
        <v>645.54300000000001</v>
      </c>
      <c r="N35" s="6">
        <v>645.54300000000001</v>
      </c>
      <c r="O35" s="6">
        <v>645.54300000000001</v>
      </c>
      <c r="P35" s="6">
        <v>0</v>
      </c>
      <c r="Q35" s="4" t="s">
        <v>26</v>
      </c>
      <c r="R35" s="4">
        <v>0</v>
      </c>
      <c r="S35" s="6">
        <v>0</v>
      </c>
      <c r="T35" s="6">
        <v>14</v>
      </c>
      <c r="U35" s="6">
        <v>44</v>
      </c>
      <c r="V35" s="6">
        <f>IF(ISERROR(VLOOKUP($S$35,'TAR FIN'!$A$1:$O$85,15,0)),0,VLOOKUP($S$35,'TAR FIN'!$A$1:$O$85,15,0))</f>
        <v>0</v>
      </c>
      <c r="W35" s="6">
        <f>IF(ISERROR(VLOOKUP($T$35,'TAR FIN'!$A$1:$O$85,15,0)),0,VLOOKUP($T$35,'TAR FIN'!$A$1:$O$85,15,0))</f>
        <v>82.94</v>
      </c>
      <c r="X35" s="6">
        <f>IF(ISERROR(VLOOKUP($U$35,'TAR FIN'!$A$1:$O$85,15,0)),0,VLOOKUP($U$35,'TAR FIN'!$A$1:$O$85,15,0))</f>
        <v>310.5</v>
      </c>
      <c r="Y35" s="6"/>
      <c r="Z35" s="6">
        <f ca="1">('TUSD BE'!$AM$12+'TUSD BF'!$AM$12+'TUSD CVA'!$AM$12)*1</f>
        <v>91.42946115697444</v>
      </c>
      <c r="AA35" s="6">
        <f>('TE BE'!$AB$6+'TE BF'!$AB$6+'TE CVA'!$AB$6)*1</f>
        <v>221.79210547670309</v>
      </c>
      <c r="AB35" s="6">
        <f>$K$35*$V$35</f>
        <v>0</v>
      </c>
      <c r="AC35" s="6">
        <f>$M$35*$W$35</f>
        <v>53541.33642</v>
      </c>
      <c r="AD35" s="6">
        <f>$O$35*$X$35</f>
        <v>200441.10149999999</v>
      </c>
      <c r="AE35" s="6">
        <f>$K$35*$Y$35</f>
        <v>0</v>
      </c>
      <c r="AF35" s="6">
        <f ca="1">$M$35*$Z$35</f>
        <v>59021.64864365675</v>
      </c>
      <c r="AG35" s="6">
        <f>$O$35*$AA$35</f>
        <v>143176.34114574734</v>
      </c>
    </row>
    <row r="36" spans="1:33" ht="11.25" customHeight="1" x14ac:dyDescent="0.3">
      <c r="A36" s="4" t="s">
        <v>21</v>
      </c>
      <c r="B36" s="4" t="s">
        <v>33</v>
      </c>
      <c r="C36" s="4" t="s">
        <v>37</v>
      </c>
      <c r="D36" s="4" t="s">
        <v>32</v>
      </c>
      <c r="E36" s="4" t="s">
        <v>25</v>
      </c>
      <c r="F36" s="4" t="s">
        <v>25</v>
      </c>
      <c r="G36" s="4" t="s">
        <v>25</v>
      </c>
      <c r="H36" s="4" t="s">
        <v>36</v>
      </c>
      <c r="I36" s="5">
        <v>44743</v>
      </c>
      <c r="J36" s="6">
        <v>0</v>
      </c>
      <c r="K36" s="6">
        <v>0</v>
      </c>
      <c r="L36" s="6">
        <v>688.66</v>
      </c>
      <c r="M36" s="6">
        <v>688.66</v>
      </c>
      <c r="N36" s="6">
        <v>688.66</v>
      </c>
      <c r="O36" s="6">
        <v>688.66</v>
      </c>
      <c r="P36" s="6">
        <v>0</v>
      </c>
      <c r="Q36" s="4" t="s">
        <v>26</v>
      </c>
      <c r="R36" s="4">
        <v>0</v>
      </c>
      <c r="S36" s="6">
        <v>0</v>
      </c>
      <c r="T36" s="6">
        <v>14</v>
      </c>
      <c r="U36" s="6">
        <v>44</v>
      </c>
      <c r="V36" s="6">
        <f>IF(ISERROR(VLOOKUP($S$36,'TAR FIN'!$A$1:$O$85,15,0)),0,VLOOKUP($S$36,'TAR FIN'!$A$1:$O$85,15,0))</f>
        <v>0</v>
      </c>
      <c r="W36" s="6">
        <f>IF(ISERROR(VLOOKUP($T$36,'TAR FIN'!$A$1:$O$85,15,0)),0,VLOOKUP($T$36,'TAR FIN'!$A$1:$O$85,15,0))</f>
        <v>82.94</v>
      </c>
      <c r="X36" s="6">
        <f>IF(ISERROR(VLOOKUP($U$36,'TAR FIN'!$A$1:$O$85,15,0)),0,VLOOKUP($U$36,'TAR FIN'!$A$1:$O$85,15,0))</f>
        <v>310.5</v>
      </c>
      <c r="Y36" s="6"/>
      <c r="Z36" s="6">
        <f ca="1">('TUSD BE'!$AM$12+'TUSD BF'!$AM$12+'TUSD CVA'!$AM$12)*1</f>
        <v>91.42946115697444</v>
      </c>
      <c r="AA36" s="6">
        <f>('TE BE'!$AB$6+'TE BF'!$AB$6+'TE CVA'!$AB$6)*1</f>
        <v>221.79210547670309</v>
      </c>
      <c r="AB36" s="6">
        <f>$K$36*$V$36</f>
        <v>0</v>
      </c>
      <c r="AC36" s="6">
        <f>$M$36*$W$36</f>
        <v>57117.460399999996</v>
      </c>
      <c r="AD36" s="6">
        <f>$O$36*$X$36</f>
        <v>213828.93</v>
      </c>
      <c r="AE36" s="6">
        <f>$K$36*$Y$36</f>
        <v>0</v>
      </c>
      <c r="AF36" s="6">
        <f ca="1">$M$36*$Z$36</f>
        <v>62963.812720362017</v>
      </c>
      <c r="AG36" s="6">
        <f>$O$36*$AA$36</f>
        <v>152739.35135758633</v>
      </c>
    </row>
    <row r="37" spans="1:33" ht="11.25" customHeight="1" x14ac:dyDescent="0.3">
      <c r="A37" s="4" t="s">
        <v>21</v>
      </c>
      <c r="B37" s="4" t="s">
        <v>33</v>
      </c>
      <c r="C37" s="4" t="s">
        <v>37</v>
      </c>
      <c r="D37" s="4" t="s">
        <v>32</v>
      </c>
      <c r="E37" s="4" t="s">
        <v>25</v>
      </c>
      <c r="F37" s="4" t="s">
        <v>25</v>
      </c>
      <c r="G37" s="4" t="s">
        <v>25</v>
      </c>
      <c r="H37" s="4" t="s">
        <v>36</v>
      </c>
      <c r="I37" s="5">
        <v>44774</v>
      </c>
      <c r="J37" s="6">
        <v>0</v>
      </c>
      <c r="K37" s="6">
        <v>0</v>
      </c>
      <c r="L37" s="6">
        <v>700.125</v>
      </c>
      <c r="M37" s="6">
        <v>700.125</v>
      </c>
      <c r="N37" s="6">
        <v>700.125</v>
      </c>
      <c r="O37" s="6">
        <v>700.125</v>
      </c>
      <c r="P37" s="6">
        <v>0</v>
      </c>
      <c r="Q37" s="4" t="s">
        <v>26</v>
      </c>
      <c r="R37" s="4">
        <v>0</v>
      </c>
      <c r="S37" s="6">
        <v>0</v>
      </c>
      <c r="T37" s="6">
        <v>14</v>
      </c>
      <c r="U37" s="6">
        <v>44</v>
      </c>
      <c r="V37" s="6">
        <f>IF(ISERROR(VLOOKUP($S$37,'TAR FIN'!$A$1:$O$85,15,0)),0,VLOOKUP($S$37,'TAR FIN'!$A$1:$O$85,15,0))</f>
        <v>0</v>
      </c>
      <c r="W37" s="6">
        <f>IF(ISERROR(VLOOKUP($T$37,'TAR FIN'!$A$1:$O$85,15,0)),0,VLOOKUP($T$37,'TAR FIN'!$A$1:$O$85,15,0))</f>
        <v>82.94</v>
      </c>
      <c r="X37" s="6">
        <f>IF(ISERROR(VLOOKUP($U$37,'TAR FIN'!$A$1:$O$85,15,0)),0,VLOOKUP($U$37,'TAR FIN'!$A$1:$O$85,15,0))</f>
        <v>310.5</v>
      </c>
      <c r="Y37" s="6"/>
      <c r="Z37" s="6">
        <f ca="1">('TUSD BE'!$AM$12+'TUSD BF'!$AM$12+'TUSD CVA'!$AM$12)*1</f>
        <v>91.42946115697444</v>
      </c>
      <c r="AA37" s="6">
        <f>('TE BE'!$AB$6+'TE BF'!$AB$6+'TE CVA'!$AB$6)*1</f>
        <v>221.79210547670309</v>
      </c>
      <c r="AB37" s="6">
        <f>$K$37*$V$37</f>
        <v>0</v>
      </c>
      <c r="AC37" s="6">
        <f>$M$37*$W$37</f>
        <v>58068.3675</v>
      </c>
      <c r="AD37" s="6">
        <f>$O$37*$X$37</f>
        <v>217388.8125</v>
      </c>
      <c r="AE37" s="6">
        <f>$K$37*$Y$37</f>
        <v>0</v>
      </c>
      <c r="AF37" s="6">
        <f ca="1">$M$37*$Z$37</f>
        <v>64012.051492526727</v>
      </c>
      <c r="AG37" s="6">
        <f>$O$37*$AA$37</f>
        <v>155282.19784687675</v>
      </c>
    </row>
    <row r="38" spans="1:33" ht="11.25" customHeight="1" x14ac:dyDescent="0.3">
      <c r="A38" s="4" t="s">
        <v>21</v>
      </c>
      <c r="B38" s="4" t="s">
        <v>33</v>
      </c>
      <c r="C38" s="4" t="s">
        <v>37</v>
      </c>
      <c r="D38" s="4" t="s">
        <v>32</v>
      </c>
      <c r="E38" s="4" t="s">
        <v>25</v>
      </c>
      <c r="F38" s="4" t="s">
        <v>25</v>
      </c>
      <c r="G38" s="4" t="s">
        <v>25</v>
      </c>
      <c r="H38" s="4" t="s">
        <v>25</v>
      </c>
      <c r="I38" s="5">
        <v>44440</v>
      </c>
      <c r="J38" s="6">
        <v>3060</v>
      </c>
      <c r="K38" s="6">
        <v>3060</v>
      </c>
      <c r="L38" s="6">
        <v>0</v>
      </c>
      <c r="M38" s="6">
        <v>0</v>
      </c>
      <c r="N38" s="6">
        <v>0</v>
      </c>
      <c r="O38" s="6">
        <v>0</v>
      </c>
      <c r="P38" s="6">
        <v>3</v>
      </c>
      <c r="Q38" s="4" t="s">
        <v>26</v>
      </c>
      <c r="R38" s="4">
        <v>0</v>
      </c>
      <c r="S38" s="6">
        <v>21</v>
      </c>
      <c r="T38" s="6">
        <v>0</v>
      </c>
      <c r="U38" s="6">
        <v>0</v>
      </c>
      <c r="V38" s="6">
        <f>IF(ISERROR(VLOOKUP($S$38,'TAR FIN'!$A$1:$O$85,15,0)),0,VLOOKUP($S$38,'TAR FIN'!$A$1:$O$85,15,0))</f>
        <v>18.72</v>
      </c>
      <c r="W38" s="6">
        <f>IF(ISERROR(VLOOKUP($T$38,'TAR FIN'!$A$1:$O$85,15,0)),0,VLOOKUP($T$38,'TAR FIN'!$A$1:$O$85,15,0))</f>
        <v>0</v>
      </c>
      <c r="X38" s="6">
        <f>IF(ISERROR(VLOOKUP($U$38,'TAR FIN'!$A$1:$O$85,15,0)),0,VLOOKUP($U$38,'TAR FIN'!$A$1:$O$85,15,0))</f>
        <v>0</v>
      </c>
      <c r="Y38" s="6">
        <f ca="1">('TUSD BE'!$AM$10+'TUSD BF'!$AM$10+'TUSD CVA'!$AM$10)*1</f>
        <v>18.85947186003559</v>
      </c>
      <c r="Z38" s="6"/>
      <c r="AA38" s="6"/>
      <c r="AB38" s="6">
        <f>$K$38*$V$38</f>
        <v>57283.199999999997</v>
      </c>
      <c r="AC38" s="6">
        <f>$M$38*$W$38</f>
        <v>0</v>
      </c>
      <c r="AD38" s="6">
        <f>$O$38*$X$38</f>
        <v>0</v>
      </c>
      <c r="AE38" s="6">
        <f ca="1">$K$38*$Y$38</f>
        <v>57709.983891708907</v>
      </c>
      <c r="AF38" s="6">
        <f>$M$38*$Z$38</f>
        <v>0</v>
      </c>
      <c r="AG38" s="6">
        <f>$O$38*$AA$38</f>
        <v>0</v>
      </c>
    </row>
    <row r="39" spans="1:33" ht="11.25" customHeight="1" x14ac:dyDescent="0.3">
      <c r="A39" s="4" t="s">
        <v>21</v>
      </c>
      <c r="B39" s="4" t="s">
        <v>33</v>
      </c>
      <c r="C39" s="4" t="s">
        <v>37</v>
      </c>
      <c r="D39" s="4" t="s">
        <v>32</v>
      </c>
      <c r="E39" s="4" t="s">
        <v>25</v>
      </c>
      <c r="F39" s="4" t="s">
        <v>25</v>
      </c>
      <c r="G39" s="4" t="s">
        <v>25</v>
      </c>
      <c r="H39" s="4" t="s">
        <v>25</v>
      </c>
      <c r="I39" s="5">
        <v>44470</v>
      </c>
      <c r="J39" s="6">
        <v>3050</v>
      </c>
      <c r="K39" s="6">
        <v>3050</v>
      </c>
      <c r="L39" s="6">
        <v>0</v>
      </c>
      <c r="M39" s="6">
        <v>0</v>
      </c>
      <c r="N39" s="6">
        <v>0</v>
      </c>
      <c r="O39" s="6">
        <v>0</v>
      </c>
      <c r="P39" s="6">
        <v>3</v>
      </c>
      <c r="Q39" s="4" t="s">
        <v>26</v>
      </c>
      <c r="R39" s="4">
        <v>0</v>
      </c>
      <c r="S39" s="6">
        <v>21</v>
      </c>
      <c r="T39" s="6">
        <v>0</v>
      </c>
      <c r="U39" s="6">
        <v>0</v>
      </c>
      <c r="V39" s="6">
        <f>IF(ISERROR(VLOOKUP($S$39,'TAR FIN'!$A$1:$O$85,15,0)),0,VLOOKUP($S$39,'TAR FIN'!$A$1:$O$85,15,0))</f>
        <v>18.72</v>
      </c>
      <c r="W39" s="6">
        <f>IF(ISERROR(VLOOKUP($T$39,'TAR FIN'!$A$1:$O$85,15,0)),0,VLOOKUP($T$39,'TAR FIN'!$A$1:$O$85,15,0))</f>
        <v>0</v>
      </c>
      <c r="X39" s="6">
        <f>IF(ISERROR(VLOOKUP($U$39,'TAR FIN'!$A$1:$O$85,15,0)),0,VLOOKUP($U$39,'TAR FIN'!$A$1:$O$85,15,0))</f>
        <v>0</v>
      </c>
      <c r="Y39" s="6">
        <f ca="1">('TUSD BE'!$AM$10+'TUSD BF'!$AM$10+'TUSD CVA'!$AM$10)*1</f>
        <v>18.85947186003559</v>
      </c>
      <c r="Z39" s="6"/>
      <c r="AA39" s="6"/>
      <c r="AB39" s="6">
        <f>$K$39*$V$39</f>
        <v>57096</v>
      </c>
      <c r="AC39" s="6">
        <f>$M$39*$W$39</f>
        <v>0</v>
      </c>
      <c r="AD39" s="6">
        <f>$O$39*$X$39</f>
        <v>0</v>
      </c>
      <c r="AE39" s="6">
        <f ca="1">$K$39*$Y$39</f>
        <v>57521.389173108553</v>
      </c>
      <c r="AF39" s="6">
        <f>$M$39*$Z$39</f>
        <v>0</v>
      </c>
      <c r="AG39" s="6">
        <f>$O$39*$AA$39</f>
        <v>0</v>
      </c>
    </row>
    <row r="40" spans="1:33" ht="11.25" customHeight="1" x14ac:dyDescent="0.3">
      <c r="A40" s="4" t="s">
        <v>21</v>
      </c>
      <c r="B40" s="4" t="s">
        <v>33</v>
      </c>
      <c r="C40" s="4" t="s">
        <v>37</v>
      </c>
      <c r="D40" s="4" t="s">
        <v>32</v>
      </c>
      <c r="E40" s="4" t="s">
        <v>25</v>
      </c>
      <c r="F40" s="4" t="s">
        <v>25</v>
      </c>
      <c r="G40" s="4" t="s">
        <v>25</v>
      </c>
      <c r="H40" s="4" t="s">
        <v>25</v>
      </c>
      <c r="I40" s="5">
        <v>44501</v>
      </c>
      <c r="J40" s="6">
        <v>3050</v>
      </c>
      <c r="K40" s="6">
        <v>3050</v>
      </c>
      <c r="L40" s="6">
        <v>0</v>
      </c>
      <c r="M40" s="6">
        <v>0</v>
      </c>
      <c r="N40" s="6">
        <v>0</v>
      </c>
      <c r="O40" s="6">
        <v>0</v>
      </c>
      <c r="P40" s="6">
        <v>3</v>
      </c>
      <c r="Q40" s="4" t="s">
        <v>26</v>
      </c>
      <c r="R40" s="4">
        <v>0</v>
      </c>
      <c r="S40" s="6">
        <v>21</v>
      </c>
      <c r="T40" s="6">
        <v>0</v>
      </c>
      <c r="U40" s="6">
        <v>0</v>
      </c>
      <c r="V40" s="6">
        <f>IF(ISERROR(VLOOKUP($S$40,'TAR FIN'!$A$1:$O$85,15,0)),0,VLOOKUP($S$40,'TAR FIN'!$A$1:$O$85,15,0))</f>
        <v>18.72</v>
      </c>
      <c r="W40" s="6">
        <f>IF(ISERROR(VLOOKUP($T$40,'TAR FIN'!$A$1:$O$85,15,0)),0,VLOOKUP($T$40,'TAR FIN'!$A$1:$O$85,15,0))</f>
        <v>0</v>
      </c>
      <c r="X40" s="6">
        <f>IF(ISERROR(VLOOKUP($U$40,'TAR FIN'!$A$1:$O$85,15,0)),0,VLOOKUP($U$40,'TAR FIN'!$A$1:$O$85,15,0))</f>
        <v>0</v>
      </c>
      <c r="Y40" s="6">
        <f ca="1">('TUSD BE'!$AM$10+'TUSD BF'!$AM$10+'TUSD CVA'!$AM$10)*1</f>
        <v>18.85947186003559</v>
      </c>
      <c r="Z40" s="6"/>
      <c r="AA40" s="6"/>
      <c r="AB40" s="6">
        <f>$K$40*$V$40</f>
        <v>57096</v>
      </c>
      <c r="AC40" s="6">
        <f>$M$40*$W$40</f>
        <v>0</v>
      </c>
      <c r="AD40" s="6">
        <f>$O$40*$X$40</f>
        <v>0</v>
      </c>
      <c r="AE40" s="6">
        <f ca="1">$K$40*$Y$40</f>
        <v>57521.389173108553</v>
      </c>
      <c r="AF40" s="6">
        <f>$M$40*$Z$40</f>
        <v>0</v>
      </c>
      <c r="AG40" s="6">
        <f>$O$40*$AA$40</f>
        <v>0</v>
      </c>
    </row>
    <row r="41" spans="1:33" ht="11.25" customHeight="1" x14ac:dyDescent="0.3">
      <c r="A41" s="4" t="s">
        <v>21</v>
      </c>
      <c r="B41" s="4" t="s">
        <v>33</v>
      </c>
      <c r="C41" s="4" t="s">
        <v>37</v>
      </c>
      <c r="D41" s="4" t="s">
        <v>32</v>
      </c>
      <c r="E41" s="4" t="s">
        <v>25</v>
      </c>
      <c r="F41" s="4" t="s">
        <v>25</v>
      </c>
      <c r="G41" s="4" t="s">
        <v>25</v>
      </c>
      <c r="H41" s="4" t="s">
        <v>25</v>
      </c>
      <c r="I41" s="5">
        <v>44531</v>
      </c>
      <c r="J41" s="6">
        <v>3050</v>
      </c>
      <c r="K41" s="6">
        <v>3050</v>
      </c>
      <c r="L41" s="6">
        <v>0</v>
      </c>
      <c r="M41" s="6">
        <v>0</v>
      </c>
      <c r="N41" s="6">
        <v>0</v>
      </c>
      <c r="O41" s="6">
        <v>0</v>
      </c>
      <c r="P41" s="6">
        <v>3</v>
      </c>
      <c r="Q41" s="4" t="s">
        <v>26</v>
      </c>
      <c r="R41" s="4">
        <v>0</v>
      </c>
      <c r="S41" s="6">
        <v>21</v>
      </c>
      <c r="T41" s="6">
        <v>0</v>
      </c>
      <c r="U41" s="6">
        <v>0</v>
      </c>
      <c r="V41" s="6">
        <f>IF(ISERROR(VLOOKUP($S$41,'TAR FIN'!$A$1:$O$85,15,0)),0,VLOOKUP($S$41,'TAR FIN'!$A$1:$O$85,15,0))</f>
        <v>18.72</v>
      </c>
      <c r="W41" s="6">
        <f>IF(ISERROR(VLOOKUP($T$41,'TAR FIN'!$A$1:$O$85,15,0)),0,VLOOKUP($T$41,'TAR FIN'!$A$1:$O$85,15,0))</f>
        <v>0</v>
      </c>
      <c r="X41" s="6">
        <f>IF(ISERROR(VLOOKUP($U$41,'TAR FIN'!$A$1:$O$85,15,0)),0,VLOOKUP($U$41,'TAR FIN'!$A$1:$O$85,15,0))</f>
        <v>0</v>
      </c>
      <c r="Y41" s="6">
        <f ca="1">('TUSD BE'!$AM$10+'TUSD BF'!$AM$10+'TUSD CVA'!$AM$10)*1</f>
        <v>18.85947186003559</v>
      </c>
      <c r="Z41" s="6"/>
      <c r="AA41" s="6"/>
      <c r="AB41" s="6">
        <f>$K$41*$V$41</f>
        <v>57096</v>
      </c>
      <c r="AC41" s="6">
        <f>$M$41*$W$41</f>
        <v>0</v>
      </c>
      <c r="AD41" s="6">
        <f>$O$41*$X$41</f>
        <v>0</v>
      </c>
      <c r="AE41" s="6">
        <f ca="1">$K$41*$Y$41</f>
        <v>57521.389173108553</v>
      </c>
      <c r="AF41" s="6">
        <f>$M$41*$Z$41</f>
        <v>0</v>
      </c>
      <c r="AG41" s="6">
        <f>$O$41*$AA$41</f>
        <v>0</v>
      </c>
    </row>
    <row r="42" spans="1:33" ht="11.25" customHeight="1" x14ac:dyDescent="0.3">
      <c r="A42" s="4" t="s">
        <v>21</v>
      </c>
      <c r="B42" s="4" t="s">
        <v>33</v>
      </c>
      <c r="C42" s="4" t="s">
        <v>37</v>
      </c>
      <c r="D42" s="4" t="s">
        <v>32</v>
      </c>
      <c r="E42" s="4" t="s">
        <v>25</v>
      </c>
      <c r="F42" s="4" t="s">
        <v>25</v>
      </c>
      <c r="G42" s="4" t="s">
        <v>25</v>
      </c>
      <c r="H42" s="4" t="s">
        <v>25</v>
      </c>
      <c r="I42" s="5">
        <v>44562</v>
      </c>
      <c r="J42" s="6">
        <v>3050</v>
      </c>
      <c r="K42" s="6">
        <v>3050</v>
      </c>
      <c r="L42" s="6">
        <v>0</v>
      </c>
      <c r="M42" s="6">
        <v>0</v>
      </c>
      <c r="N42" s="6">
        <v>0</v>
      </c>
      <c r="O42" s="6">
        <v>0</v>
      </c>
      <c r="P42" s="6">
        <v>3</v>
      </c>
      <c r="Q42" s="4" t="s">
        <v>26</v>
      </c>
      <c r="R42" s="4">
        <v>0</v>
      </c>
      <c r="S42" s="6">
        <v>21</v>
      </c>
      <c r="T42" s="6">
        <v>0</v>
      </c>
      <c r="U42" s="6">
        <v>0</v>
      </c>
      <c r="V42" s="6">
        <f>IF(ISERROR(VLOOKUP($S$42,'TAR FIN'!$A$1:$O$85,15,0)),0,VLOOKUP($S$42,'TAR FIN'!$A$1:$O$85,15,0))</f>
        <v>18.72</v>
      </c>
      <c r="W42" s="6">
        <f>IF(ISERROR(VLOOKUP($T$42,'TAR FIN'!$A$1:$O$85,15,0)),0,VLOOKUP($T$42,'TAR FIN'!$A$1:$O$85,15,0))</f>
        <v>0</v>
      </c>
      <c r="X42" s="6">
        <f>IF(ISERROR(VLOOKUP($U$42,'TAR FIN'!$A$1:$O$85,15,0)),0,VLOOKUP($U$42,'TAR FIN'!$A$1:$O$85,15,0))</f>
        <v>0</v>
      </c>
      <c r="Y42" s="6">
        <f ca="1">('TUSD BE'!$AM$10+'TUSD BF'!$AM$10+'TUSD CVA'!$AM$10)*1</f>
        <v>18.85947186003559</v>
      </c>
      <c r="Z42" s="6"/>
      <c r="AA42" s="6"/>
      <c r="AB42" s="6">
        <f>$K$42*$V$42</f>
        <v>57096</v>
      </c>
      <c r="AC42" s="6">
        <f>$M$42*$W$42</f>
        <v>0</v>
      </c>
      <c r="AD42" s="6">
        <f>$O$42*$X$42</f>
        <v>0</v>
      </c>
      <c r="AE42" s="6">
        <f ca="1">$K$42*$Y$42</f>
        <v>57521.389173108553</v>
      </c>
      <c r="AF42" s="6">
        <f>$M$42*$Z$42</f>
        <v>0</v>
      </c>
      <c r="AG42" s="6">
        <f>$O$42*$AA$42</f>
        <v>0</v>
      </c>
    </row>
    <row r="43" spans="1:33" ht="11.25" customHeight="1" x14ac:dyDescent="0.3">
      <c r="A43" s="4" t="s">
        <v>21</v>
      </c>
      <c r="B43" s="4" t="s">
        <v>33</v>
      </c>
      <c r="C43" s="4" t="s">
        <v>37</v>
      </c>
      <c r="D43" s="4" t="s">
        <v>32</v>
      </c>
      <c r="E43" s="4" t="s">
        <v>25</v>
      </c>
      <c r="F43" s="4" t="s">
        <v>25</v>
      </c>
      <c r="G43" s="4" t="s">
        <v>25</v>
      </c>
      <c r="H43" s="4" t="s">
        <v>25</v>
      </c>
      <c r="I43" s="5">
        <v>44593</v>
      </c>
      <c r="J43" s="6">
        <v>3050</v>
      </c>
      <c r="K43" s="6">
        <v>3050</v>
      </c>
      <c r="L43" s="6">
        <v>0</v>
      </c>
      <c r="M43" s="6">
        <v>0</v>
      </c>
      <c r="N43" s="6">
        <v>0</v>
      </c>
      <c r="O43" s="6">
        <v>0</v>
      </c>
      <c r="P43" s="6">
        <v>3</v>
      </c>
      <c r="Q43" s="4" t="s">
        <v>26</v>
      </c>
      <c r="R43" s="4">
        <v>0</v>
      </c>
      <c r="S43" s="6">
        <v>21</v>
      </c>
      <c r="T43" s="6">
        <v>0</v>
      </c>
      <c r="U43" s="6">
        <v>0</v>
      </c>
      <c r="V43" s="6">
        <f>IF(ISERROR(VLOOKUP($S$43,'TAR FIN'!$A$1:$O$85,15,0)),0,VLOOKUP($S$43,'TAR FIN'!$A$1:$O$85,15,0))</f>
        <v>18.72</v>
      </c>
      <c r="W43" s="6">
        <f>IF(ISERROR(VLOOKUP($T$43,'TAR FIN'!$A$1:$O$85,15,0)),0,VLOOKUP($T$43,'TAR FIN'!$A$1:$O$85,15,0))</f>
        <v>0</v>
      </c>
      <c r="X43" s="6">
        <f>IF(ISERROR(VLOOKUP($U$43,'TAR FIN'!$A$1:$O$85,15,0)),0,VLOOKUP($U$43,'TAR FIN'!$A$1:$O$85,15,0))</f>
        <v>0</v>
      </c>
      <c r="Y43" s="6">
        <f ca="1">('TUSD BE'!$AM$10+'TUSD BF'!$AM$10+'TUSD CVA'!$AM$10)*1</f>
        <v>18.85947186003559</v>
      </c>
      <c r="Z43" s="6"/>
      <c r="AA43" s="6"/>
      <c r="AB43" s="6">
        <f>$K$43*$V$43</f>
        <v>57096</v>
      </c>
      <c r="AC43" s="6">
        <f>$M$43*$W$43</f>
        <v>0</v>
      </c>
      <c r="AD43" s="6">
        <f>$O$43*$X$43</f>
        <v>0</v>
      </c>
      <c r="AE43" s="6">
        <f ca="1">$K$43*$Y$43</f>
        <v>57521.389173108553</v>
      </c>
      <c r="AF43" s="6">
        <f>$M$43*$Z$43</f>
        <v>0</v>
      </c>
      <c r="AG43" s="6">
        <f>$O$43*$AA$43</f>
        <v>0</v>
      </c>
    </row>
    <row r="44" spans="1:33" ht="11.25" customHeight="1" x14ac:dyDescent="0.3">
      <c r="A44" s="4" t="s">
        <v>21</v>
      </c>
      <c r="B44" s="4" t="s">
        <v>33</v>
      </c>
      <c r="C44" s="4" t="s">
        <v>37</v>
      </c>
      <c r="D44" s="4" t="s">
        <v>32</v>
      </c>
      <c r="E44" s="4" t="s">
        <v>25</v>
      </c>
      <c r="F44" s="4" t="s">
        <v>25</v>
      </c>
      <c r="G44" s="4" t="s">
        <v>25</v>
      </c>
      <c r="H44" s="4" t="s">
        <v>25</v>
      </c>
      <c r="I44" s="5">
        <v>44621</v>
      </c>
      <c r="J44" s="6">
        <v>3050</v>
      </c>
      <c r="K44" s="6">
        <v>3050</v>
      </c>
      <c r="L44" s="6">
        <v>0</v>
      </c>
      <c r="M44" s="6">
        <v>0</v>
      </c>
      <c r="N44" s="6">
        <v>0</v>
      </c>
      <c r="O44" s="6">
        <v>0</v>
      </c>
      <c r="P44" s="6">
        <v>3</v>
      </c>
      <c r="Q44" s="4" t="s">
        <v>26</v>
      </c>
      <c r="R44" s="4">
        <v>0</v>
      </c>
      <c r="S44" s="6">
        <v>21</v>
      </c>
      <c r="T44" s="6">
        <v>0</v>
      </c>
      <c r="U44" s="6">
        <v>0</v>
      </c>
      <c r="V44" s="6">
        <f>IF(ISERROR(VLOOKUP($S$44,'TAR FIN'!$A$1:$O$85,15,0)),0,VLOOKUP($S$44,'TAR FIN'!$A$1:$O$85,15,0))</f>
        <v>18.72</v>
      </c>
      <c r="W44" s="6">
        <f>IF(ISERROR(VLOOKUP($T$44,'TAR FIN'!$A$1:$O$85,15,0)),0,VLOOKUP($T$44,'TAR FIN'!$A$1:$O$85,15,0))</f>
        <v>0</v>
      </c>
      <c r="X44" s="6">
        <f>IF(ISERROR(VLOOKUP($U$44,'TAR FIN'!$A$1:$O$85,15,0)),0,VLOOKUP($U$44,'TAR FIN'!$A$1:$O$85,15,0))</f>
        <v>0</v>
      </c>
      <c r="Y44" s="6">
        <f ca="1">('TUSD BE'!$AM$10+'TUSD BF'!$AM$10+'TUSD CVA'!$AM$10)*1</f>
        <v>18.85947186003559</v>
      </c>
      <c r="Z44" s="6"/>
      <c r="AA44" s="6"/>
      <c r="AB44" s="6">
        <f>$K$44*$V$44</f>
        <v>57096</v>
      </c>
      <c r="AC44" s="6">
        <f>$M$44*$W$44</f>
        <v>0</v>
      </c>
      <c r="AD44" s="6">
        <f>$O$44*$X$44</f>
        <v>0</v>
      </c>
      <c r="AE44" s="6">
        <f ca="1">$K$44*$Y$44</f>
        <v>57521.389173108553</v>
      </c>
      <c r="AF44" s="6">
        <f>$M$44*$Z$44</f>
        <v>0</v>
      </c>
      <c r="AG44" s="6">
        <f>$O$44*$AA$44</f>
        <v>0</v>
      </c>
    </row>
    <row r="45" spans="1:33" ht="11.25" customHeight="1" x14ac:dyDescent="0.3">
      <c r="A45" s="4" t="s">
        <v>21</v>
      </c>
      <c r="B45" s="4" t="s">
        <v>33</v>
      </c>
      <c r="C45" s="4" t="s">
        <v>37</v>
      </c>
      <c r="D45" s="4" t="s">
        <v>32</v>
      </c>
      <c r="E45" s="4" t="s">
        <v>25</v>
      </c>
      <c r="F45" s="4" t="s">
        <v>25</v>
      </c>
      <c r="G45" s="4" t="s">
        <v>25</v>
      </c>
      <c r="H45" s="4" t="s">
        <v>25</v>
      </c>
      <c r="I45" s="5">
        <v>44652</v>
      </c>
      <c r="J45" s="6">
        <v>3050</v>
      </c>
      <c r="K45" s="6">
        <v>3050</v>
      </c>
      <c r="L45" s="6">
        <v>0</v>
      </c>
      <c r="M45" s="6">
        <v>0</v>
      </c>
      <c r="N45" s="6">
        <v>0</v>
      </c>
      <c r="O45" s="6">
        <v>0</v>
      </c>
      <c r="P45" s="6">
        <v>3</v>
      </c>
      <c r="Q45" s="4" t="s">
        <v>26</v>
      </c>
      <c r="R45" s="4">
        <v>0</v>
      </c>
      <c r="S45" s="6">
        <v>21</v>
      </c>
      <c r="T45" s="6">
        <v>0</v>
      </c>
      <c r="U45" s="6">
        <v>0</v>
      </c>
      <c r="V45" s="6">
        <f>IF(ISERROR(VLOOKUP($S$45,'TAR FIN'!$A$1:$O$85,15,0)),0,VLOOKUP($S$45,'TAR FIN'!$A$1:$O$85,15,0))</f>
        <v>18.72</v>
      </c>
      <c r="W45" s="6">
        <f>IF(ISERROR(VLOOKUP($T$45,'TAR FIN'!$A$1:$O$85,15,0)),0,VLOOKUP($T$45,'TAR FIN'!$A$1:$O$85,15,0))</f>
        <v>0</v>
      </c>
      <c r="X45" s="6">
        <f>IF(ISERROR(VLOOKUP($U$45,'TAR FIN'!$A$1:$O$85,15,0)),0,VLOOKUP($U$45,'TAR FIN'!$A$1:$O$85,15,0))</f>
        <v>0</v>
      </c>
      <c r="Y45" s="6">
        <f ca="1">('TUSD BE'!$AM$10+'TUSD BF'!$AM$10+'TUSD CVA'!$AM$10)*1</f>
        <v>18.85947186003559</v>
      </c>
      <c r="Z45" s="6"/>
      <c r="AA45" s="6"/>
      <c r="AB45" s="6">
        <f>$K$45*$V$45</f>
        <v>57096</v>
      </c>
      <c r="AC45" s="6">
        <f>$M$45*$W$45</f>
        <v>0</v>
      </c>
      <c r="AD45" s="6">
        <f>$O$45*$X$45</f>
        <v>0</v>
      </c>
      <c r="AE45" s="6">
        <f ca="1">$K$45*$Y$45</f>
        <v>57521.389173108553</v>
      </c>
      <c r="AF45" s="6">
        <f>$M$45*$Z$45</f>
        <v>0</v>
      </c>
      <c r="AG45" s="6">
        <f>$O$45*$AA$45</f>
        <v>0</v>
      </c>
    </row>
    <row r="46" spans="1:33" ht="11.25" customHeight="1" x14ac:dyDescent="0.3">
      <c r="A46" s="4" t="s">
        <v>21</v>
      </c>
      <c r="B46" s="4" t="s">
        <v>33</v>
      </c>
      <c r="C46" s="4" t="s">
        <v>37</v>
      </c>
      <c r="D46" s="4" t="s">
        <v>32</v>
      </c>
      <c r="E46" s="4" t="s">
        <v>25</v>
      </c>
      <c r="F46" s="4" t="s">
        <v>25</v>
      </c>
      <c r="G46" s="4" t="s">
        <v>25</v>
      </c>
      <c r="H46" s="4" t="s">
        <v>25</v>
      </c>
      <c r="I46" s="5">
        <v>44682</v>
      </c>
      <c r="J46" s="6">
        <v>3050</v>
      </c>
      <c r="K46" s="6">
        <v>3050</v>
      </c>
      <c r="L46" s="6">
        <v>0</v>
      </c>
      <c r="M46" s="6">
        <v>0</v>
      </c>
      <c r="N46" s="6">
        <v>0</v>
      </c>
      <c r="O46" s="6">
        <v>0</v>
      </c>
      <c r="P46" s="6">
        <v>3</v>
      </c>
      <c r="Q46" s="4" t="s">
        <v>26</v>
      </c>
      <c r="R46" s="4">
        <v>0</v>
      </c>
      <c r="S46" s="6">
        <v>21</v>
      </c>
      <c r="T46" s="6">
        <v>0</v>
      </c>
      <c r="U46" s="6">
        <v>0</v>
      </c>
      <c r="V46" s="6">
        <f>IF(ISERROR(VLOOKUP($S$46,'TAR FIN'!$A$1:$O$85,15,0)),0,VLOOKUP($S$46,'TAR FIN'!$A$1:$O$85,15,0))</f>
        <v>18.72</v>
      </c>
      <c r="W46" s="6">
        <f>IF(ISERROR(VLOOKUP($T$46,'TAR FIN'!$A$1:$O$85,15,0)),0,VLOOKUP($T$46,'TAR FIN'!$A$1:$O$85,15,0))</f>
        <v>0</v>
      </c>
      <c r="X46" s="6">
        <f>IF(ISERROR(VLOOKUP($U$46,'TAR FIN'!$A$1:$O$85,15,0)),0,VLOOKUP($U$46,'TAR FIN'!$A$1:$O$85,15,0))</f>
        <v>0</v>
      </c>
      <c r="Y46" s="6">
        <f ca="1">('TUSD BE'!$AM$10+'TUSD BF'!$AM$10+'TUSD CVA'!$AM$10)*1</f>
        <v>18.85947186003559</v>
      </c>
      <c r="Z46" s="6"/>
      <c r="AA46" s="6"/>
      <c r="AB46" s="6">
        <f>$K$46*$V$46</f>
        <v>57096</v>
      </c>
      <c r="AC46" s="6">
        <f>$M$46*$W$46</f>
        <v>0</v>
      </c>
      <c r="AD46" s="6">
        <f>$O$46*$X$46</f>
        <v>0</v>
      </c>
      <c r="AE46" s="6">
        <f ca="1">$K$46*$Y$46</f>
        <v>57521.389173108553</v>
      </c>
      <c r="AF46" s="6">
        <f>$M$46*$Z$46</f>
        <v>0</v>
      </c>
      <c r="AG46" s="6">
        <f>$O$46*$AA$46</f>
        <v>0</v>
      </c>
    </row>
    <row r="47" spans="1:33" ht="11.25" customHeight="1" x14ac:dyDescent="0.3">
      <c r="A47" s="4" t="s">
        <v>21</v>
      </c>
      <c r="B47" s="4" t="s">
        <v>33</v>
      </c>
      <c r="C47" s="4" t="s">
        <v>37</v>
      </c>
      <c r="D47" s="4" t="s">
        <v>32</v>
      </c>
      <c r="E47" s="4" t="s">
        <v>25</v>
      </c>
      <c r="F47" s="4" t="s">
        <v>25</v>
      </c>
      <c r="G47" s="4" t="s">
        <v>25</v>
      </c>
      <c r="H47" s="4" t="s">
        <v>25</v>
      </c>
      <c r="I47" s="5">
        <v>44713</v>
      </c>
      <c r="J47" s="6">
        <v>3050</v>
      </c>
      <c r="K47" s="6">
        <v>3050</v>
      </c>
      <c r="L47" s="6">
        <v>0</v>
      </c>
      <c r="M47" s="6">
        <v>0</v>
      </c>
      <c r="N47" s="6">
        <v>0</v>
      </c>
      <c r="O47" s="6">
        <v>0</v>
      </c>
      <c r="P47" s="6">
        <v>3</v>
      </c>
      <c r="Q47" s="4" t="s">
        <v>26</v>
      </c>
      <c r="R47" s="4">
        <v>0</v>
      </c>
      <c r="S47" s="6">
        <v>21</v>
      </c>
      <c r="T47" s="6">
        <v>0</v>
      </c>
      <c r="U47" s="6">
        <v>0</v>
      </c>
      <c r="V47" s="6">
        <f>IF(ISERROR(VLOOKUP($S$47,'TAR FIN'!$A$1:$O$85,15,0)),0,VLOOKUP($S$47,'TAR FIN'!$A$1:$O$85,15,0))</f>
        <v>18.72</v>
      </c>
      <c r="W47" s="6">
        <f>IF(ISERROR(VLOOKUP($T$47,'TAR FIN'!$A$1:$O$85,15,0)),0,VLOOKUP($T$47,'TAR FIN'!$A$1:$O$85,15,0))</f>
        <v>0</v>
      </c>
      <c r="X47" s="6">
        <f>IF(ISERROR(VLOOKUP($U$47,'TAR FIN'!$A$1:$O$85,15,0)),0,VLOOKUP($U$47,'TAR FIN'!$A$1:$O$85,15,0))</f>
        <v>0</v>
      </c>
      <c r="Y47" s="6">
        <f ca="1">('TUSD BE'!$AM$10+'TUSD BF'!$AM$10+'TUSD CVA'!$AM$10)*1</f>
        <v>18.85947186003559</v>
      </c>
      <c r="Z47" s="6"/>
      <c r="AA47" s="6"/>
      <c r="AB47" s="6">
        <f>$K$47*$V$47</f>
        <v>57096</v>
      </c>
      <c r="AC47" s="6">
        <f>$M$47*$W$47</f>
        <v>0</v>
      </c>
      <c r="AD47" s="6">
        <f>$O$47*$X$47</f>
        <v>0</v>
      </c>
      <c r="AE47" s="6">
        <f ca="1">$K$47*$Y$47</f>
        <v>57521.389173108553</v>
      </c>
      <c r="AF47" s="6">
        <f>$M$47*$Z$47</f>
        <v>0</v>
      </c>
      <c r="AG47" s="6">
        <f>$O$47*$AA$47</f>
        <v>0</v>
      </c>
    </row>
    <row r="48" spans="1:33" ht="11.25" customHeight="1" x14ac:dyDescent="0.3">
      <c r="A48" s="4" t="s">
        <v>21</v>
      </c>
      <c r="B48" s="4" t="s">
        <v>33</v>
      </c>
      <c r="C48" s="4" t="s">
        <v>37</v>
      </c>
      <c r="D48" s="4" t="s">
        <v>32</v>
      </c>
      <c r="E48" s="4" t="s">
        <v>25</v>
      </c>
      <c r="F48" s="4" t="s">
        <v>25</v>
      </c>
      <c r="G48" s="4" t="s">
        <v>25</v>
      </c>
      <c r="H48" s="4" t="s">
        <v>25</v>
      </c>
      <c r="I48" s="5">
        <v>44743</v>
      </c>
      <c r="J48" s="6">
        <v>3056</v>
      </c>
      <c r="K48" s="6">
        <v>3056</v>
      </c>
      <c r="L48" s="6">
        <v>0</v>
      </c>
      <c r="M48" s="6">
        <v>0</v>
      </c>
      <c r="N48" s="6">
        <v>0</v>
      </c>
      <c r="O48" s="6">
        <v>0</v>
      </c>
      <c r="P48" s="6">
        <v>3</v>
      </c>
      <c r="Q48" s="4" t="s">
        <v>26</v>
      </c>
      <c r="R48" s="4">
        <v>0</v>
      </c>
      <c r="S48" s="6">
        <v>21</v>
      </c>
      <c r="T48" s="6">
        <v>0</v>
      </c>
      <c r="U48" s="6">
        <v>0</v>
      </c>
      <c r="V48" s="6">
        <f>IF(ISERROR(VLOOKUP($S$48,'TAR FIN'!$A$1:$O$85,15,0)),0,VLOOKUP($S$48,'TAR FIN'!$A$1:$O$85,15,0))</f>
        <v>18.72</v>
      </c>
      <c r="W48" s="6">
        <f>IF(ISERROR(VLOOKUP($T$48,'TAR FIN'!$A$1:$O$85,15,0)),0,VLOOKUP($T$48,'TAR FIN'!$A$1:$O$85,15,0))</f>
        <v>0</v>
      </c>
      <c r="X48" s="6">
        <f>IF(ISERROR(VLOOKUP($U$48,'TAR FIN'!$A$1:$O$85,15,0)),0,VLOOKUP($U$48,'TAR FIN'!$A$1:$O$85,15,0))</f>
        <v>0</v>
      </c>
      <c r="Y48" s="6">
        <f ca="1">('TUSD BE'!$AM$10+'TUSD BF'!$AM$10+'TUSD CVA'!$AM$10)*1</f>
        <v>18.85947186003559</v>
      </c>
      <c r="Z48" s="6"/>
      <c r="AA48" s="6"/>
      <c r="AB48" s="6">
        <f>$K$48*$V$48</f>
        <v>57208.32</v>
      </c>
      <c r="AC48" s="6">
        <f>$M$48*$W$48</f>
        <v>0</v>
      </c>
      <c r="AD48" s="6">
        <f>$O$48*$X$48</f>
        <v>0</v>
      </c>
      <c r="AE48" s="6">
        <f ca="1">$K$48*$Y$48</f>
        <v>57634.546004268763</v>
      </c>
      <c r="AF48" s="6">
        <f>$M$48*$Z$48</f>
        <v>0</v>
      </c>
      <c r="AG48" s="6">
        <f>$O$48*$AA$48</f>
        <v>0</v>
      </c>
    </row>
    <row r="49" spans="1:33" ht="11.25" customHeight="1" x14ac:dyDescent="0.3">
      <c r="A49" s="4" t="s">
        <v>21</v>
      </c>
      <c r="B49" s="4" t="s">
        <v>33</v>
      </c>
      <c r="C49" s="4" t="s">
        <v>37</v>
      </c>
      <c r="D49" s="4" t="s">
        <v>32</v>
      </c>
      <c r="E49" s="4" t="s">
        <v>25</v>
      </c>
      <c r="F49" s="4" t="s">
        <v>25</v>
      </c>
      <c r="G49" s="4" t="s">
        <v>25</v>
      </c>
      <c r="H49" s="4" t="s">
        <v>25</v>
      </c>
      <c r="I49" s="5">
        <v>44774</v>
      </c>
      <c r="J49" s="6">
        <v>3050</v>
      </c>
      <c r="K49" s="6">
        <v>3050</v>
      </c>
      <c r="L49" s="6">
        <v>0</v>
      </c>
      <c r="M49" s="6">
        <v>0</v>
      </c>
      <c r="N49" s="6">
        <v>0</v>
      </c>
      <c r="O49" s="6">
        <v>0</v>
      </c>
      <c r="P49" s="6">
        <v>3</v>
      </c>
      <c r="Q49" s="4" t="s">
        <v>26</v>
      </c>
      <c r="R49" s="4">
        <v>0</v>
      </c>
      <c r="S49" s="6">
        <v>21</v>
      </c>
      <c r="T49" s="6">
        <v>0</v>
      </c>
      <c r="U49" s="6">
        <v>0</v>
      </c>
      <c r="V49" s="6">
        <f>IF(ISERROR(VLOOKUP($S$49,'TAR FIN'!$A$1:$O$85,15,0)),0,VLOOKUP($S$49,'TAR FIN'!$A$1:$O$85,15,0))</f>
        <v>18.72</v>
      </c>
      <c r="W49" s="6">
        <f>IF(ISERROR(VLOOKUP($T$49,'TAR FIN'!$A$1:$O$85,15,0)),0,VLOOKUP($T$49,'TAR FIN'!$A$1:$O$85,15,0))</f>
        <v>0</v>
      </c>
      <c r="X49" s="6">
        <f>IF(ISERROR(VLOOKUP($U$49,'TAR FIN'!$A$1:$O$85,15,0)),0,VLOOKUP($U$49,'TAR FIN'!$A$1:$O$85,15,0))</f>
        <v>0</v>
      </c>
      <c r="Y49" s="6">
        <f ca="1">('TUSD BE'!$AM$10+'TUSD BF'!$AM$10+'TUSD CVA'!$AM$10)*1</f>
        <v>18.85947186003559</v>
      </c>
      <c r="Z49" s="6"/>
      <c r="AA49" s="6"/>
      <c r="AB49" s="6">
        <f>$K$49*$V$49</f>
        <v>57096</v>
      </c>
      <c r="AC49" s="6">
        <f>$M$49*$W$49</f>
        <v>0</v>
      </c>
      <c r="AD49" s="6">
        <f>$O$49*$X$49</f>
        <v>0</v>
      </c>
      <c r="AE49" s="6">
        <f ca="1">$K$49*$Y$49</f>
        <v>57521.389173108553</v>
      </c>
      <c r="AF49" s="6">
        <f>$M$49*$Z$49</f>
        <v>0</v>
      </c>
      <c r="AG49" s="6">
        <f>$O$49*$AA$49</f>
        <v>0</v>
      </c>
    </row>
    <row r="50" spans="1:33" ht="11.25" customHeight="1" x14ac:dyDescent="0.3">
      <c r="A50" s="4" t="s">
        <v>21</v>
      </c>
      <c r="B50" s="4" t="s">
        <v>33</v>
      </c>
      <c r="C50" s="4" t="s">
        <v>37</v>
      </c>
      <c r="D50" s="4" t="s">
        <v>32</v>
      </c>
      <c r="E50" s="4" t="s">
        <v>25</v>
      </c>
      <c r="F50" s="4" t="s">
        <v>25</v>
      </c>
      <c r="G50" s="4" t="s">
        <v>25</v>
      </c>
      <c r="H50" s="4" t="s">
        <v>35</v>
      </c>
      <c r="I50" s="5">
        <v>44440</v>
      </c>
      <c r="J50" s="6">
        <v>0</v>
      </c>
      <c r="K50" s="6">
        <v>0</v>
      </c>
      <c r="L50" s="6">
        <v>43.52</v>
      </c>
      <c r="M50" s="6">
        <v>43.52</v>
      </c>
      <c r="N50" s="6">
        <v>43.52</v>
      </c>
      <c r="O50" s="6">
        <v>43.52</v>
      </c>
      <c r="P50" s="6">
        <v>0</v>
      </c>
      <c r="Q50" s="4" t="s">
        <v>26</v>
      </c>
      <c r="R50" s="4">
        <v>0</v>
      </c>
      <c r="S50" s="6">
        <v>0</v>
      </c>
      <c r="T50" s="6">
        <v>25</v>
      </c>
      <c r="U50" s="6">
        <v>41</v>
      </c>
      <c r="V50" s="6">
        <f>IF(ISERROR(VLOOKUP($S$50,'TAR FIN'!$A$1:$O$85,15,0)),0,VLOOKUP($S$50,'TAR FIN'!$A$1:$O$85,15,0))</f>
        <v>0</v>
      </c>
      <c r="W50" s="6">
        <f>IF(ISERROR(VLOOKUP($T$50,'TAR FIN'!$A$1:$O$85,15,0)),0,VLOOKUP($T$50,'TAR FIN'!$A$1:$O$85,15,0))</f>
        <v>1369.31</v>
      </c>
      <c r="X50" s="6">
        <f>IF(ISERROR(VLOOKUP($U$50,'TAR FIN'!$A$1:$O$85,15,0)),0,VLOOKUP($U$50,'TAR FIN'!$A$1:$O$85,15,0))</f>
        <v>310.5</v>
      </c>
      <c r="Y50" s="6"/>
      <c r="Z50" s="6">
        <f ca="1">('TUSD BE'!$AM$11+'TUSD BF'!$AM$11+'TUSD CVA'!$AM$11)*1</f>
        <v>1381.226557142704</v>
      </c>
      <c r="AA50" s="6">
        <f>('TE BE'!$AB$5+'TE BF'!$AB$5+'TE CVA'!$AB$5)*1</f>
        <v>221.79210547670309</v>
      </c>
      <c r="AB50" s="6">
        <f>$K$50*$V$50</f>
        <v>0</v>
      </c>
      <c r="AC50" s="6">
        <f>$M$50*$W$50</f>
        <v>59592.371200000001</v>
      </c>
      <c r="AD50" s="6">
        <f>$O$50*$X$50</f>
        <v>13512.960000000001</v>
      </c>
      <c r="AE50" s="6">
        <f>$K$50*$Y$50</f>
        <v>0</v>
      </c>
      <c r="AF50" s="6">
        <f ca="1">$M$50*$Z$50</f>
        <v>60110.979766850483</v>
      </c>
      <c r="AG50" s="6">
        <f>$O$50*$AA$50</f>
        <v>9652.392430346119</v>
      </c>
    </row>
    <row r="51" spans="1:33" ht="11.25" customHeight="1" x14ac:dyDescent="0.3">
      <c r="A51" s="4" t="s">
        <v>21</v>
      </c>
      <c r="B51" s="4" t="s">
        <v>33</v>
      </c>
      <c r="C51" s="4" t="s">
        <v>37</v>
      </c>
      <c r="D51" s="4" t="s">
        <v>32</v>
      </c>
      <c r="E51" s="4" t="s">
        <v>25</v>
      </c>
      <c r="F51" s="4" t="s">
        <v>25</v>
      </c>
      <c r="G51" s="4" t="s">
        <v>25</v>
      </c>
      <c r="H51" s="4" t="s">
        <v>35</v>
      </c>
      <c r="I51" s="5">
        <v>44470</v>
      </c>
      <c r="J51" s="6">
        <v>0</v>
      </c>
      <c r="K51" s="6">
        <v>0</v>
      </c>
      <c r="L51" s="6">
        <v>42.656999999999996</v>
      </c>
      <c r="M51" s="6">
        <v>42.656999999999996</v>
      </c>
      <c r="N51" s="6">
        <v>42.656999999999996</v>
      </c>
      <c r="O51" s="6">
        <v>42.656999999999996</v>
      </c>
      <c r="P51" s="6">
        <v>0</v>
      </c>
      <c r="Q51" s="4" t="s">
        <v>26</v>
      </c>
      <c r="R51" s="4">
        <v>0</v>
      </c>
      <c r="S51" s="6">
        <v>0</v>
      </c>
      <c r="T51" s="6">
        <v>25</v>
      </c>
      <c r="U51" s="6">
        <v>41</v>
      </c>
      <c r="V51" s="6">
        <f>IF(ISERROR(VLOOKUP($S$51,'TAR FIN'!$A$1:$O$85,15,0)),0,VLOOKUP($S$51,'TAR FIN'!$A$1:$O$85,15,0))</f>
        <v>0</v>
      </c>
      <c r="W51" s="6">
        <f>IF(ISERROR(VLOOKUP($T$51,'TAR FIN'!$A$1:$O$85,15,0)),0,VLOOKUP($T$51,'TAR FIN'!$A$1:$O$85,15,0))</f>
        <v>1369.31</v>
      </c>
      <c r="X51" s="6">
        <f>IF(ISERROR(VLOOKUP($U$51,'TAR FIN'!$A$1:$O$85,15,0)),0,VLOOKUP($U$51,'TAR FIN'!$A$1:$O$85,15,0))</f>
        <v>310.5</v>
      </c>
      <c r="Y51" s="6"/>
      <c r="Z51" s="6">
        <f ca="1">('TUSD BE'!$AM$11+'TUSD BF'!$AM$11+'TUSD CVA'!$AM$11)*1</f>
        <v>1381.226557142704</v>
      </c>
      <c r="AA51" s="6">
        <f>('TE BE'!$AB$5+'TE BF'!$AB$5+'TE CVA'!$AB$5)*1</f>
        <v>221.79210547670309</v>
      </c>
      <c r="AB51" s="6">
        <f>$K$51*$V$51</f>
        <v>0</v>
      </c>
      <c r="AC51" s="6">
        <f>$M$51*$W$51</f>
        <v>58410.656669999989</v>
      </c>
      <c r="AD51" s="6">
        <f>$O$51*$X$51</f>
        <v>13244.9985</v>
      </c>
      <c r="AE51" s="6">
        <f>$K$51*$Y$51</f>
        <v>0</v>
      </c>
      <c r="AF51" s="6">
        <f ca="1">$M$51*$Z$51</f>
        <v>58918.981248036318</v>
      </c>
      <c r="AG51" s="6">
        <f>$O$51*$AA$51</f>
        <v>9460.9858433197223</v>
      </c>
    </row>
    <row r="52" spans="1:33" ht="11.25" customHeight="1" x14ac:dyDescent="0.3">
      <c r="A52" s="4" t="s">
        <v>21</v>
      </c>
      <c r="B52" s="4" t="s">
        <v>33</v>
      </c>
      <c r="C52" s="4" t="s">
        <v>37</v>
      </c>
      <c r="D52" s="4" t="s">
        <v>32</v>
      </c>
      <c r="E52" s="4" t="s">
        <v>25</v>
      </c>
      <c r="F52" s="4" t="s">
        <v>25</v>
      </c>
      <c r="G52" s="4" t="s">
        <v>25</v>
      </c>
      <c r="H52" s="4" t="s">
        <v>35</v>
      </c>
      <c r="I52" s="5">
        <v>44501</v>
      </c>
      <c r="J52" s="6">
        <v>0</v>
      </c>
      <c r="K52" s="6">
        <v>0</v>
      </c>
      <c r="L52" s="6">
        <v>44.64</v>
      </c>
      <c r="M52" s="6">
        <v>44.64</v>
      </c>
      <c r="N52" s="6">
        <v>44.64</v>
      </c>
      <c r="O52" s="6">
        <v>44.64</v>
      </c>
      <c r="P52" s="6">
        <v>0</v>
      </c>
      <c r="Q52" s="4" t="s">
        <v>26</v>
      </c>
      <c r="R52" s="4">
        <v>0</v>
      </c>
      <c r="S52" s="6">
        <v>0</v>
      </c>
      <c r="T52" s="6">
        <v>25</v>
      </c>
      <c r="U52" s="6">
        <v>41</v>
      </c>
      <c r="V52" s="6">
        <f>IF(ISERROR(VLOOKUP($S$52,'TAR FIN'!$A$1:$O$85,15,0)),0,VLOOKUP($S$52,'TAR FIN'!$A$1:$O$85,15,0))</f>
        <v>0</v>
      </c>
      <c r="W52" s="6">
        <f>IF(ISERROR(VLOOKUP($T$52,'TAR FIN'!$A$1:$O$85,15,0)),0,VLOOKUP($T$52,'TAR FIN'!$A$1:$O$85,15,0))</f>
        <v>1369.31</v>
      </c>
      <c r="X52" s="6">
        <f>IF(ISERROR(VLOOKUP($U$52,'TAR FIN'!$A$1:$O$85,15,0)),0,VLOOKUP($U$52,'TAR FIN'!$A$1:$O$85,15,0))</f>
        <v>310.5</v>
      </c>
      <c r="Y52" s="6"/>
      <c r="Z52" s="6">
        <f ca="1">('TUSD BE'!$AM$11+'TUSD BF'!$AM$11+'TUSD CVA'!$AM$11)*1</f>
        <v>1381.226557142704</v>
      </c>
      <c r="AA52" s="6">
        <f>('TE BE'!$AB$5+'TE BF'!$AB$5+'TE CVA'!$AB$5)*1</f>
        <v>221.79210547670309</v>
      </c>
      <c r="AB52" s="6">
        <f>$K$52*$V$52</f>
        <v>0</v>
      </c>
      <c r="AC52" s="6">
        <f>$M$52*$W$52</f>
        <v>61125.998399999997</v>
      </c>
      <c r="AD52" s="6">
        <f>$O$52*$X$52</f>
        <v>13860.72</v>
      </c>
      <c r="AE52" s="6">
        <f>$K$52*$Y$52</f>
        <v>0</v>
      </c>
      <c r="AF52" s="6">
        <f ca="1">$M$52*$Z$52</f>
        <v>61657.953510850304</v>
      </c>
      <c r="AG52" s="6">
        <f>$O$52*$AA$52</f>
        <v>9900.7995884800257</v>
      </c>
    </row>
    <row r="53" spans="1:33" ht="11.25" customHeight="1" x14ac:dyDescent="0.3">
      <c r="A53" s="4" t="s">
        <v>21</v>
      </c>
      <c r="B53" s="4" t="s">
        <v>33</v>
      </c>
      <c r="C53" s="4" t="s">
        <v>37</v>
      </c>
      <c r="D53" s="4" t="s">
        <v>32</v>
      </c>
      <c r="E53" s="4" t="s">
        <v>25</v>
      </c>
      <c r="F53" s="4" t="s">
        <v>25</v>
      </c>
      <c r="G53" s="4" t="s">
        <v>25</v>
      </c>
      <c r="H53" s="4" t="s">
        <v>35</v>
      </c>
      <c r="I53" s="5">
        <v>44531</v>
      </c>
      <c r="J53" s="6">
        <v>0</v>
      </c>
      <c r="K53" s="6">
        <v>0</v>
      </c>
      <c r="L53" s="6">
        <v>47.222999999999999</v>
      </c>
      <c r="M53" s="6">
        <v>47.222999999999999</v>
      </c>
      <c r="N53" s="6">
        <v>47.222999999999999</v>
      </c>
      <c r="O53" s="6">
        <v>47.222999999999999</v>
      </c>
      <c r="P53" s="6">
        <v>0</v>
      </c>
      <c r="Q53" s="4" t="s">
        <v>26</v>
      </c>
      <c r="R53" s="4">
        <v>0</v>
      </c>
      <c r="S53" s="6">
        <v>0</v>
      </c>
      <c r="T53" s="6">
        <v>25</v>
      </c>
      <c r="U53" s="6">
        <v>41</v>
      </c>
      <c r="V53" s="6">
        <f>IF(ISERROR(VLOOKUP($S$53,'TAR FIN'!$A$1:$O$85,15,0)),0,VLOOKUP($S$53,'TAR FIN'!$A$1:$O$85,15,0))</f>
        <v>0</v>
      </c>
      <c r="W53" s="6">
        <f>IF(ISERROR(VLOOKUP($T$53,'TAR FIN'!$A$1:$O$85,15,0)),0,VLOOKUP($T$53,'TAR FIN'!$A$1:$O$85,15,0))</f>
        <v>1369.31</v>
      </c>
      <c r="X53" s="6">
        <f>IF(ISERROR(VLOOKUP($U$53,'TAR FIN'!$A$1:$O$85,15,0)),0,VLOOKUP($U$53,'TAR FIN'!$A$1:$O$85,15,0))</f>
        <v>310.5</v>
      </c>
      <c r="Y53" s="6"/>
      <c r="Z53" s="6">
        <f ca="1">('TUSD BE'!$AM$11+'TUSD BF'!$AM$11+'TUSD CVA'!$AM$11)*1</f>
        <v>1381.226557142704</v>
      </c>
      <c r="AA53" s="6">
        <f>('TE BE'!$AB$5+'TE BF'!$AB$5+'TE CVA'!$AB$5)*1</f>
        <v>221.79210547670309</v>
      </c>
      <c r="AB53" s="6">
        <f>$K$53*$V$53</f>
        <v>0</v>
      </c>
      <c r="AC53" s="6">
        <f>$M$53*$W$53</f>
        <v>64662.926129999993</v>
      </c>
      <c r="AD53" s="6">
        <f>$O$53*$X$53</f>
        <v>14662.7415</v>
      </c>
      <c r="AE53" s="6">
        <f>$K$53*$Y$53</f>
        <v>0</v>
      </c>
      <c r="AF53" s="6">
        <f ca="1">$M$53*$Z$53</f>
        <v>65225.661707949912</v>
      </c>
      <c r="AG53" s="6">
        <f>$O$53*$AA$53</f>
        <v>10473.688596926349</v>
      </c>
    </row>
    <row r="54" spans="1:33" ht="11.25" customHeight="1" x14ac:dyDescent="0.3">
      <c r="A54" s="4" t="s">
        <v>21</v>
      </c>
      <c r="B54" s="4" t="s">
        <v>33</v>
      </c>
      <c r="C54" s="4" t="s">
        <v>37</v>
      </c>
      <c r="D54" s="4" t="s">
        <v>32</v>
      </c>
      <c r="E54" s="4" t="s">
        <v>25</v>
      </c>
      <c r="F54" s="4" t="s">
        <v>25</v>
      </c>
      <c r="G54" s="4" t="s">
        <v>25</v>
      </c>
      <c r="H54" s="4" t="s">
        <v>35</v>
      </c>
      <c r="I54" s="5">
        <v>44562</v>
      </c>
      <c r="J54" s="6">
        <v>0</v>
      </c>
      <c r="K54" s="6">
        <v>0</v>
      </c>
      <c r="L54" s="6">
        <v>44.844000000000001</v>
      </c>
      <c r="M54" s="6">
        <v>44.844000000000001</v>
      </c>
      <c r="N54" s="6">
        <v>44.844000000000001</v>
      </c>
      <c r="O54" s="6">
        <v>44.844000000000001</v>
      </c>
      <c r="P54" s="6">
        <v>0</v>
      </c>
      <c r="Q54" s="4" t="s">
        <v>26</v>
      </c>
      <c r="R54" s="4">
        <v>0</v>
      </c>
      <c r="S54" s="6">
        <v>0</v>
      </c>
      <c r="T54" s="6">
        <v>25</v>
      </c>
      <c r="U54" s="6">
        <v>41</v>
      </c>
      <c r="V54" s="6">
        <f>IF(ISERROR(VLOOKUP($S$54,'TAR FIN'!$A$1:$O$85,15,0)),0,VLOOKUP($S$54,'TAR FIN'!$A$1:$O$85,15,0))</f>
        <v>0</v>
      </c>
      <c r="W54" s="6">
        <f>IF(ISERROR(VLOOKUP($T$54,'TAR FIN'!$A$1:$O$85,15,0)),0,VLOOKUP($T$54,'TAR FIN'!$A$1:$O$85,15,0))</f>
        <v>1369.31</v>
      </c>
      <c r="X54" s="6">
        <f>IF(ISERROR(VLOOKUP($U$54,'TAR FIN'!$A$1:$O$85,15,0)),0,VLOOKUP($U$54,'TAR FIN'!$A$1:$O$85,15,0))</f>
        <v>310.5</v>
      </c>
      <c r="Y54" s="6"/>
      <c r="Z54" s="6">
        <f ca="1">('TUSD BE'!$AM$11+'TUSD BF'!$AM$11+'TUSD CVA'!$AM$11)*1</f>
        <v>1381.226557142704</v>
      </c>
      <c r="AA54" s="6">
        <f>('TE BE'!$AB$5+'TE BF'!$AB$5+'TE CVA'!$AB$5)*1</f>
        <v>221.79210547670309</v>
      </c>
      <c r="AB54" s="6">
        <f>$K$54*$V$54</f>
        <v>0</v>
      </c>
      <c r="AC54" s="6">
        <f>$M$54*$W$54</f>
        <v>61405.337639999998</v>
      </c>
      <c r="AD54" s="6">
        <f>$O$54*$X$54</f>
        <v>13924.062</v>
      </c>
      <c r="AE54" s="6">
        <f>$K$54*$Y$54</f>
        <v>0</v>
      </c>
      <c r="AF54" s="6">
        <f ca="1">$M$54*$Z$54</f>
        <v>61939.723728507422</v>
      </c>
      <c r="AG54" s="6">
        <f>$O$54*$AA$54</f>
        <v>9946.0451779972736</v>
      </c>
    </row>
    <row r="55" spans="1:33" ht="11.25" customHeight="1" x14ac:dyDescent="0.3">
      <c r="A55" s="4" t="s">
        <v>21</v>
      </c>
      <c r="B55" s="4" t="s">
        <v>33</v>
      </c>
      <c r="C55" s="4" t="s">
        <v>37</v>
      </c>
      <c r="D55" s="4" t="s">
        <v>32</v>
      </c>
      <c r="E55" s="4" t="s">
        <v>25</v>
      </c>
      <c r="F55" s="4" t="s">
        <v>25</v>
      </c>
      <c r="G55" s="4" t="s">
        <v>25</v>
      </c>
      <c r="H55" s="4" t="s">
        <v>35</v>
      </c>
      <c r="I55" s="5">
        <v>44593</v>
      </c>
      <c r="J55" s="6">
        <v>0</v>
      </c>
      <c r="K55" s="6">
        <v>0</v>
      </c>
      <c r="L55" s="6">
        <v>43.325000000000003</v>
      </c>
      <c r="M55" s="6">
        <v>43.325000000000003</v>
      </c>
      <c r="N55" s="6">
        <v>43.325000000000003</v>
      </c>
      <c r="O55" s="6">
        <v>43.325000000000003</v>
      </c>
      <c r="P55" s="6">
        <v>0</v>
      </c>
      <c r="Q55" s="4" t="s">
        <v>26</v>
      </c>
      <c r="R55" s="4">
        <v>0</v>
      </c>
      <c r="S55" s="6">
        <v>0</v>
      </c>
      <c r="T55" s="6">
        <v>25</v>
      </c>
      <c r="U55" s="6">
        <v>41</v>
      </c>
      <c r="V55" s="6">
        <f>IF(ISERROR(VLOOKUP($S$55,'TAR FIN'!$A$1:$O$85,15,0)),0,VLOOKUP($S$55,'TAR FIN'!$A$1:$O$85,15,0))</f>
        <v>0</v>
      </c>
      <c r="W55" s="6">
        <f>IF(ISERROR(VLOOKUP($T$55,'TAR FIN'!$A$1:$O$85,15,0)),0,VLOOKUP($T$55,'TAR FIN'!$A$1:$O$85,15,0))</f>
        <v>1369.31</v>
      </c>
      <c r="X55" s="6">
        <f>IF(ISERROR(VLOOKUP($U$55,'TAR FIN'!$A$1:$O$85,15,0)),0,VLOOKUP($U$55,'TAR FIN'!$A$1:$O$85,15,0))</f>
        <v>310.5</v>
      </c>
      <c r="Y55" s="6"/>
      <c r="Z55" s="6">
        <f ca="1">('TUSD BE'!$AM$11+'TUSD BF'!$AM$11+'TUSD CVA'!$AM$11)*1</f>
        <v>1381.226557142704</v>
      </c>
      <c r="AA55" s="6">
        <f>('TE BE'!$AB$5+'TE BF'!$AB$5+'TE CVA'!$AB$5)*1</f>
        <v>221.79210547670309</v>
      </c>
      <c r="AB55" s="6">
        <f>$K$55*$V$55</f>
        <v>0</v>
      </c>
      <c r="AC55" s="6">
        <f>$M$55*$W$55</f>
        <v>59325.355750000002</v>
      </c>
      <c r="AD55" s="6">
        <f>$O$55*$X$55</f>
        <v>13452.4125</v>
      </c>
      <c r="AE55" s="6">
        <f>$K$55*$Y$55</f>
        <v>0</v>
      </c>
      <c r="AF55" s="6">
        <f ca="1">$M$55*$Z$55</f>
        <v>59841.640588207658</v>
      </c>
      <c r="AG55" s="6">
        <f>$O$55*$AA$55</f>
        <v>9609.1429697781623</v>
      </c>
    </row>
    <row r="56" spans="1:33" ht="11.25" customHeight="1" x14ac:dyDescent="0.3">
      <c r="A56" s="4" t="s">
        <v>21</v>
      </c>
      <c r="B56" s="4" t="s">
        <v>33</v>
      </c>
      <c r="C56" s="4" t="s">
        <v>37</v>
      </c>
      <c r="D56" s="4" t="s">
        <v>32</v>
      </c>
      <c r="E56" s="4" t="s">
        <v>25</v>
      </c>
      <c r="F56" s="4" t="s">
        <v>25</v>
      </c>
      <c r="G56" s="4" t="s">
        <v>25</v>
      </c>
      <c r="H56" s="4" t="s">
        <v>35</v>
      </c>
      <c r="I56" s="5">
        <v>44621</v>
      </c>
      <c r="J56" s="6">
        <v>0</v>
      </c>
      <c r="K56" s="6">
        <v>0</v>
      </c>
      <c r="L56" s="6">
        <v>49.451000000000001</v>
      </c>
      <c r="M56" s="6">
        <v>49.451000000000001</v>
      </c>
      <c r="N56" s="6">
        <v>49.451000000000001</v>
      </c>
      <c r="O56" s="6">
        <v>49.451000000000001</v>
      </c>
      <c r="P56" s="6">
        <v>0</v>
      </c>
      <c r="Q56" s="4" t="s">
        <v>26</v>
      </c>
      <c r="R56" s="4">
        <v>0</v>
      </c>
      <c r="S56" s="6">
        <v>0</v>
      </c>
      <c r="T56" s="6">
        <v>25</v>
      </c>
      <c r="U56" s="6">
        <v>41</v>
      </c>
      <c r="V56" s="6">
        <f>IF(ISERROR(VLOOKUP($S$56,'TAR FIN'!$A$1:$O$85,15,0)),0,VLOOKUP($S$56,'TAR FIN'!$A$1:$O$85,15,0))</f>
        <v>0</v>
      </c>
      <c r="W56" s="6">
        <f>IF(ISERROR(VLOOKUP($T$56,'TAR FIN'!$A$1:$O$85,15,0)),0,VLOOKUP($T$56,'TAR FIN'!$A$1:$O$85,15,0))</f>
        <v>1369.31</v>
      </c>
      <c r="X56" s="6">
        <f>IF(ISERROR(VLOOKUP($U$56,'TAR FIN'!$A$1:$O$85,15,0)),0,VLOOKUP($U$56,'TAR FIN'!$A$1:$O$85,15,0))</f>
        <v>310.5</v>
      </c>
      <c r="Y56" s="6"/>
      <c r="Z56" s="6">
        <f ca="1">('TUSD BE'!$AM$11+'TUSD BF'!$AM$11+'TUSD CVA'!$AM$11)*1</f>
        <v>1381.226557142704</v>
      </c>
      <c r="AA56" s="6">
        <f>('TE BE'!$AB$5+'TE BF'!$AB$5+'TE CVA'!$AB$5)*1</f>
        <v>221.79210547670309</v>
      </c>
      <c r="AB56" s="6">
        <f>$K$56*$V$56</f>
        <v>0</v>
      </c>
      <c r="AC56" s="6">
        <f>$M$56*$W$56</f>
        <v>67713.748810000005</v>
      </c>
      <c r="AD56" s="6">
        <f>$O$56*$X$56</f>
        <v>15354.5355</v>
      </c>
      <c r="AE56" s="6">
        <f>$K$56*$Y$56</f>
        <v>0</v>
      </c>
      <c r="AF56" s="6">
        <f ca="1">$M$56*$Z$56</f>
        <v>68303.034477263849</v>
      </c>
      <c r="AG56" s="6">
        <f>$O$56*$AA$56</f>
        <v>10967.841407928445</v>
      </c>
    </row>
    <row r="57" spans="1:33" ht="11.25" customHeight="1" x14ac:dyDescent="0.3">
      <c r="A57" s="4" t="s">
        <v>21</v>
      </c>
      <c r="B57" s="4" t="s">
        <v>33</v>
      </c>
      <c r="C57" s="4" t="s">
        <v>37</v>
      </c>
      <c r="D57" s="4" t="s">
        <v>32</v>
      </c>
      <c r="E57" s="4" t="s">
        <v>25</v>
      </c>
      <c r="F57" s="4" t="s">
        <v>25</v>
      </c>
      <c r="G57" s="4" t="s">
        <v>25</v>
      </c>
      <c r="H57" s="4" t="s">
        <v>35</v>
      </c>
      <c r="I57" s="5">
        <v>44652</v>
      </c>
      <c r="J57" s="6">
        <v>0</v>
      </c>
      <c r="K57" s="6">
        <v>0</v>
      </c>
      <c r="L57" s="6">
        <v>44.747999999999998</v>
      </c>
      <c r="M57" s="6">
        <v>44.747999999999998</v>
      </c>
      <c r="N57" s="6">
        <v>44.747999999999998</v>
      </c>
      <c r="O57" s="6">
        <v>44.747999999999998</v>
      </c>
      <c r="P57" s="6">
        <v>0</v>
      </c>
      <c r="Q57" s="4" t="s">
        <v>26</v>
      </c>
      <c r="R57" s="4">
        <v>0</v>
      </c>
      <c r="S57" s="6">
        <v>0</v>
      </c>
      <c r="T57" s="6">
        <v>25</v>
      </c>
      <c r="U57" s="6">
        <v>41</v>
      </c>
      <c r="V57" s="6">
        <f>IF(ISERROR(VLOOKUP($S$57,'TAR FIN'!$A$1:$O$85,15,0)),0,VLOOKUP($S$57,'TAR FIN'!$A$1:$O$85,15,0))</f>
        <v>0</v>
      </c>
      <c r="W57" s="6">
        <f>IF(ISERROR(VLOOKUP($T$57,'TAR FIN'!$A$1:$O$85,15,0)),0,VLOOKUP($T$57,'TAR FIN'!$A$1:$O$85,15,0))</f>
        <v>1369.31</v>
      </c>
      <c r="X57" s="6">
        <f>IF(ISERROR(VLOOKUP($U$57,'TAR FIN'!$A$1:$O$85,15,0)),0,VLOOKUP($U$57,'TAR FIN'!$A$1:$O$85,15,0))</f>
        <v>310.5</v>
      </c>
      <c r="Y57" s="6"/>
      <c r="Z57" s="6">
        <f ca="1">('TUSD BE'!$AM$11+'TUSD BF'!$AM$11+'TUSD CVA'!$AM$11)*1</f>
        <v>1381.226557142704</v>
      </c>
      <c r="AA57" s="6">
        <f>('TE BE'!$AB$5+'TE BF'!$AB$5+'TE CVA'!$AB$5)*1</f>
        <v>221.79210547670309</v>
      </c>
      <c r="AB57" s="6">
        <f>$K$57*$V$57</f>
        <v>0</v>
      </c>
      <c r="AC57" s="6">
        <f>$M$57*$W$57</f>
        <v>61273.883879999994</v>
      </c>
      <c r="AD57" s="6">
        <f>$O$57*$X$57</f>
        <v>13894.253999999999</v>
      </c>
      <c r="AE57" s="6">
        <f>$K$57*$Y$57</f>
        <v>0</v>
      </c>
      <c r="AF57" s="6">
        <f ca="1">$M$57*$Z$57</f>
        <v>61807.125979021715</v>
      </c>
      <c r="AG57" s="6">
        <f>$O$57*$AA$57</f>
        <v>9924.7531358715096</v>
      </c>
    </row>
    <row r="58" spans="1:33" ht="11.25" customHeight="1" x14ac:dyDescent="0.3">
      <c r="A58" s="4" t="s">
        <v>21</v>
      </c>
      <c r="B58" s="4" t="s">
        <v>33</v>
      </c>
      <c r="C58" s="4" t="s">
        <v>37</v>
      </c>
      <c r="D58" s="4" t="s">
        <v>32</v>
      </c>
      <c r="E58" s="4" t="s">
        <v>25</v>
      </c>
      <c r="F58" s="4" t="s">
        <v>25</v>
      </c>
      <c r="G58" s="4" t="s">
        <v>25</v>
      </c>
      <c r="H58" s="4" t="s">
        <v>35</v>
      </c>
      <c r="I58" s="5">
        <v>44682</v>
      </c>
      <c r="J58" s="6">
        <v>0</v>
      </c>
      <c r="K58" s="6">
        <v>0</v>
      </c>
      <c r="L58" s="6">
        <v>49.109000000000002</v>
      </c>
      <c r="M58" s="6">
        <v>49.109000000000002</v>
      </c>
      <c r="N58" s="6">
        <v>49.109000000000002</v>
      </c>
      <c r="O58" s="6">
        <v>49.109000000000002</v>
      </c>
      <c r="P58" s="6">
        <v>0</v>
      </c>
      <c r="Q58" s="4" t="s">
        <v>26</v>
      </c>
      <c r="R58" s="4">
        <v>0</v>
      </c>
      <c r="S58" s="6">
        <v>0</v>
      </c>
      <c r="T58" s="6">
        <v>25</v>
      </c>
      <c r="U58" s="6">
        <v>41</v>
      </c>
      <c r="V58" s="6">
        <f>IF(ISERROR(VLOOKUP($S$58,'TAR FIN'!$A$1:$O$85,15,0)),0,VLOOKUP($S$58,'TAR FIN'!$A$1:$O$85,15,0))</f>
        <v>0</v>
      </c>
      <c r="W58" s="6">
        <f>IF(ISERROR(VLOOKUP($T$58,'TAR FIN'!$A$1:$O$85,15,0)),0,VLOOKUP($T$58,'TAR FIN'!$A$1:$O$85,15,0))</f>
        <v>1369.31</v>
      </c>
      <c r="X58" s="6">
        <f>IF(ISERROR(VLOOKUP($U$58,'TAR FIN'!$A$1:$O$85,15,0)),0,VLOOKUP($U$58,'TAR FIN'!$A$1:$O$85,15,0))</f>
        <v>310.5</v>
      </c>
      <c r="Y58" s="6"/>
      <c r="Z58" s="6">
        <f ca="1">('TUSD BE'!$AM$11+'TUSD BF'!$AM$11+'TUSD CVA'!$AM$11)*1</f>
        <v>1381.226557142704</v>
      </c>
      <c r="AA58" s="6">
        <f>('TE BE'!$AB$5+'TE BF'!$AB$5+'TE CVA'!$AB$5)*1</f>
        <v>221.79210547670309</v>
      </c>
      <c r="AB58" s="6">
        <f>$K$58*$V$58</f>
        <v>0</v>
      </c>
      <c r="AC58" s="6">
        <f>$M$58*$W$58</f>
        <v>67245.444789999994</v>
      </c>
      <c r="AD58" s="6">
        <f>$O$58*$X$58</f>
        <v>15248.344500000001</v>
      </c>
      <c r="AE58" s="6">
        <f>$K$58*$Y$58</f>
        <v>0</v>
      </c>
      <c r="AF58" s="6">
        <f ca="1">$M$58*$Z$58</f>
        <v>67830.654994721059</v>
      </c>
      <c r="AG58" s="6">
        <f>$O$58*$AA$58</f>
        <v>10891.988507855413</v>
      </c>
    </row>
    <row r="59" spans="1:33" ht="11.25" customHeight="1" x14ac:dyDescent="0.3">
      <c r="A59" s="4" t="s">
        <v>21</v>
      </c>
      <c r="B59" s="4" t="s">
        <v>33</v>
      </c>
      <c r="C59" s="4" t="s">
        <v>37</v>
      </c>
      <c r="D59" s="4" t="s">
        <v>32</v>
      </c>
      <c r="E59" s="4" t="s">
        <v>25</v>
      </c>
      <c r="F59" s="4" t="s">
        <v>25</v>
      </c>
      <c r="G59" s="4" t="s">
        <v>25</v>
      </c>
      <c r="H59" s="4" t="s">
        <v>35</v>
      </c>
      <c r="I59" s="5">
        <v>44713</v>
      </c>
      <c r="J59" s="6">
        <v>0</v>
      </c>
      <c r="K59" s="6">
        <v>0</v>
      </c>
      <c r="L59" s="6">
        <v>47.128</v>
      </c>
      <c r="M59" s="6">
        <v>47.128</v>
      </c>
      <c r="N59" s="6">
        <v>47.128</v>
      </c>
      <c r="O59" s="6">
        <v>47.128</v>
      </c>
      <c r="P59" s="6">
        <v>0</v>
      </c>
      <c r="Q59" s="4" t="s">
        <v>26</v>
      </c>
      <c r="R59" s="4">
        <v>0</v>
      </c>
      <c r="S59" s="6">
        <v>0</v>
      </c>
      <c r="T59" s="6">
        <v>25</v>
      </c>
      <c r="U59" s="6">
        <v>41</v>
      </c>
      <c r="V59" s="6">
        <f>IF(ISERROR(VLOOKUP($S$59,'TAR FIN'!$A$1:$O$85,15,0)),0,VLOOKUP($S$59,'TAR FIN'!$A$1:$O$85,15,0))</f>
        <v>0</v>
      </c>
      <c r="W59" s="6">
        <f>IF(ISERROR(VLOOKUP($T$59,'TAR FIN'!$A$1:$O$85,15,0)),0,VLOOKUP($T$59,'TAR FIN'!$A$1:$O$85,15,0))</f>
        <v>1369.31</v>
      </c>
      <c r="X59" s="6">
        <f>IF(ISERROR(VLOOKUP($U$59,'TAR FIN'!$A$1:$O$85,15,0)),0,VLOOKUP($U$59,'TAR FIN'!$A$1:$O$85,15,0))</f>
        <v>310.5</v>
      </c>
      <c r="Y59" s="6"/>
      <c r="Z59" s="6">
        <f ca="1">('TUSD BE'!$AM$11+'TUSD BF'!$AM$11+'TUSD CVA'!$AM$11)*1</f>
        <v>1381.226557142704</v>
      </c>
      <c r="AA59" s="6">
        <f>('TE BE'!$AB$5+'TE BF'!$AB$5+'TE CVA'!$AB$5)*1</f>
        <v>221.79210547670309</v>
      </c>
      <c r="AB59" s="6">
        <f>$K$59*$V$59</f>
        <v>0</v>
      </c>
      <c r="AC59" s="6">
        <f>$M$59*$W$59</f>
        <v>64532.841679999998</v>
      </c>
      <c r="AD59" s="6">
        <f>$O$59*$X$59</f>
        <v>14633.244000000001</v>
      </c>
      <c r="AE59" s="6">
        <f>$K$59*$Y$59</f>
        <v>0</v>
      </c>
      <c r="AF59" s="6">
        <f ca="1">$M$59*$Z$59</f>
        <v>65094.445185021352</v>
      </c>
      <c r="AG59" s="6">
        <f>$O$59*$AA$59</f>
        <v>10452.618346906063</v>
      </c>
    </row>
    <row r="60" spans="1:33" ht="11.25" customHeight="1" x14ac:dyDescent="0.3">
      <c r="A60" s="4" t="s">
        <v>21</v>
      </c>
      <c r="B60" s="4" t="s">
        <v>33</v>
      </c>
      <c r="C60" s="4" t="s">
        <v>37</v>
      </c>
      <c r="D60" s="4" t="s">
        <v>32</v>
      </c>
      <c r="E60" s="4" t="s">
        <v>25</v>
      </c>
      <c r="F60" s="4" t="s">
        <v>25</v>
      </c>
      <c r="G60" s="4" t="s">
        <v>25</v>
      </c>
      <c r="H60" s="4" t="s">
        <v>35</v>
      </c>
      <c r="I60" s="5">
        <v>44743</v>
      </c>
      <c r="J60" s="6">
        <v>0</v>
      </c>
      <c r="K60" s="6">
        <v>0</v>
      </c>
      <c r="L60" s="6">
        <v>48.082000000000001</v>
      </c>
      <c r="M60" s="6">
        <v>48.082000000000001</v>
      </c>
      <c r="N60" s="6">
        <v>48.082000000000001</v>
      </c>
      <c r="O60" s="6">
        <v>48.082000000000001</v>
      </c>
      <c r="P60" s="6">
        <v>0</v>
      </c>
      <c r="Q60" s="4" t="s">
        <v>26</v>
      </c>
      <c r="R60" s="4">
        <v>0</v>
      </c>
      <c r="S60" s="6">
        <v>0</v>
      </c>
      <c r="T60" s="6">
        <v>25</v>
      </c>
      <c r="U60" s="6">
        <v>41</v>
      </c>
      <c r="V60" s="6">
        <f>IF(ISERROR(VLOOKUP($S$60,'TAR FIN'!$A$1:$O$85,15,0)),0,VLOOKUP($S$60,'TAR FIN'!$A$1:$O$85,15,0))</f>
        <v>0</v>
      </c>
      <c r="W60" s="6">
        <f>IF(ISERROR(VLOOKUP($T$60,'TAR FIN'!$A$1:$O$85,15,0)),0,VLOOKUP($T$60,'TAR FIN'!$A$1:$O$85,15,0))</f>
        <v>1369.31</v>
      </c>
      <c r="X60" s="6">
        <f>IF(ISERROR(VLOOKUP($U$60,'TAR FIN'!$A$1:$O$85,15,0)),0,VLOOKUP($U$60,'TAR FIN'!$A$1:$O$85,15,0))</f>
        <v>310.5</v>
      </c>
      <c r="Y60" s="6"/>
      <c r="Z60" s="6">
        <f ca="1">('TUSD BE'!$AM$11+'TUSD BF'!$AM$11+'TUSD CVA'!$AM$11)*1</f>
        <v>1381.226557142704</v>
      </c>
      <c r="AA60" s="6">
        <f>('TE BE'!$AB$5+'TE BF'!$AB$5+'TE CVA'!$AB$5)*1</f>
        <v>221.79210547670309</v>
      </c>
      <c r="AB60" s="6">
        <f>$K$60*$V$60</f>
        <v>0</v>
      </c>
      <c r="AC60" s="6">
        <f>$M$60*$W$60</f>
        <v>65839.163419999997</v>
      </c>
      <c r="AD60" s="6">
        <f>$O$60*$X$60</f>
        <v>14929.460999999999</v>
      </c>
      <c r="AE60" s="6">
        <f>$K$60*$Y$60</f>
        <v>0</v>
      </c>
      <c r="AF60" s="6">
        <f ca="1">$M$60*$Z$60</f>
        <v>66412.135320535497</v>
      </c>
      <c r="AG60" s="6">
        <f>$O$60*$AA$60</f>
        <v>10664.208015530838</v>
      </c>
    </row>
    <row r="61" spans="1:33" ht="11.25" customHeight="1" x14ac:dyDescent="0.3">
      <c r="A61" s="4" t="s">
        <v>21</v>
      </c>
      <c r="B61" s="4" t="s">
        <v>33</v>
      </c>
      <c r="C61" s="4" t="s">
        <v>37</v>
      </c>
      <c r="D61" s="4" t="s">
        <v>32</v>
      </c>
      <c r="E61" s="4" t="s">
        <v>25</v>
      </c>
      <c r="F61" s="4" t="s">
        <v>25</v>
      </c>
      <c r="G61" s="4" t="s">
        <v>25</v>
      </c>
      <c r="H61" s="4" t="s">
        <v>35</v>
      </c>
      <c r="I61" s="5">
        <v>44774</v>
      </c>
      <c r="J61" s="6">
        <v>0</v>
      </c>
      <c r="K61" s="6">
        <v>0</v>
      </c>
      <c r="L61" s="6">
        <v>56.726999999999997</v>
      </c>
      <c r="M61" s="6">
        <v>56.726999999999997</v>
      </c>
      <c r="N61" s="6">
        <v>56.726999999999997</v>
      </c>
      <c r="O61" s="6">
        <v>56.726999999999997</v>
      </c>
      <c r="P61" s="6">
        <v>0</v>
      </c>
      <c r="Q61" s="4" t="s">
        <v>26</v>
      </c>
      <c r="R61" s="4">
        <v>0</v>
      </c>
      <c r="S61" s="6">
        <v>0</v>
      </c>
      <c r="T61" s="6">
        <v>25</v>
      </c>
      <c r="U61" s="6">
        <v>41</v>
      </c>
      <c r="V61" s="6">
        <f>IF(ISERROR(VLOOKUP($S$61,'TAR FIN'!$A$1:$O$85,15,0)),0,VLOOKUP($S$61,'TAR FIN'!$A$1:$O$85,15,0))</f>
        <v>0</v>
      </c>
      <c r="W61" s="6">
        <f>IF(ISERROR(VLOOKUP($T$61,'TAR FIN'!$A$1:$O$85,15,0)),0,VLOOKUP($T$61,'TAR FIN'!$A$1:$O$85,15,0))</f>
        <v>1369.31</v>
      </c>
      <c r="X61" s="6">
        <f>IF(ISERROR(VLOOKUP($U$61,'TAR FIN'!$A$1:$O$85,15,0)),0,VLOOKUP($U$61,'TAR FIN'!$A$1:$O$85,15,0))</f>
        <v>310.5</v>
      </c>
      <c r="Y61" s="6"/>
      <c r="Z61" s="6">
        <f ca="1">('TUSD BE'!$AM$11+'TUSD BF'!$AM$11+'TUSD CVA'!$AM$11)*1</f>
        <v>1381.226557142704</v>
      </c>
      <c r="AA61" s="6">
        <f>('TE BE'!$AB$5+'TE BF'!$AB$5+'TE CVA'!$AB$5)*1</f>
        <v>221.79210547670309</v>
      </c>
      <c r="AB61" s="6">
        <f>$K$61*$V$61</f>
        <v>0</v>
      </c>
      <c r="AC61" s="6">
        <f>$M$61*$W$61</f>
        <v>77676.848369999992</v>
      </c>
      <c r="AD61" s="6">
        <f>$O$61*$X$61</f>
        <v>17613.733499999998</v>
      </c>
      <c r="AE61" s="6">
        <f>$K$61*$Y$61</f>
        <v>0</v>
      </c>
      <c r="AF61" s="6">
        <f ca="1">$M$61*$Z$61</f>
        <v>78352.838907034165</v>
      </c>
      <c r="AG61" s="6">
        <f>$O$61*$AA$61</f>
        <v>12581.600767376935</v>
      </c>
    </row>
    <row r="62" spans="1:33" ht="11.25" customHeight="1" x14ac:dyDescent="0.3">
      <c r="A62" s="4" t="s">
        <v>21</v>
      </c>
      <c r="B62" s="4" t="s">
        <v>22</v>
      </c>
      <c r="C62" s="4" t="s">
        <v>23</v>
      </c>
      <c r="D62" s="4" t="s">
        <v>24</v>
      </c>
      <c r="E62" s="4" t="s">
        <v>24</v>
      </c>
      <c r="F62" s="4" t="s">
        <v>25</v>
      </c>
      <c r="G62" s="4" t="s">
        <v>25</v>
      </c>
      <c r="H62" s="4" t="s">
        <v>25</v>
      </c>
      <c r="I62" s="5">
        <v>44440</v>
      </c>
      <c r="J62" s="6">
        <v>0</v>
      </c>
      <c r="K62" s="6">
        <v>0</v>
      </c>
      <c r="L62" s="6">
        <v>38.773000000000003</v>
      </c>
      <c r="M62" s="6">
        <v>38.773000000000003</v>
      </c>
      <c r="N62" s="6">
        <v>38.773000000000003</v>
      </c>
      <c r="O62" s="6">
        <v>38.773000000000003</v>
      </c>
      <c r="P62" s="6">
        <v>263</v>
      </c>
      <c r="Q62" s="4" t="s">
        <v>26</v>
      </c>
      <c r="R62" s="4">
        <v>0</v>
      </c>
      <c r="S62" s="6">
        <v>0</v>
      </c>
      <c r="T62" s="6">
        <v>20</v>
      </c>
      <c r="U62" s="6">
        <v>37</v>
      </c>
      <c r="V62" s="6">
        <f>IF(ISERROR(VLOOKUP($S$62,'TAR FIN'!$A$1:$O$85,15,0)),0,VLOOKUP($S$62,'TAR FIN'!$A$1:$O$85,15,0))</f>
        <v>0</v>
      </c>
      <c r="W62" s="6">
        <f>IF(ISERROR(VLOOKUP($T$62,'TAR FIN'!$A$1:$O$85,15,0)),0,VLOOKUP($T$62,'TAR FIN'!$A$1:$O$85,15,0))</f>
        <v>303.64999999999998</v>
      </c>
      <c r="X62" s="6">
        <f>IF(ISERROR(VLOOKUP($U$62,'TAR FIN'!$A$1:$O$85,15,0)),0,VLOOKUP($U$62,'TAR FIN'!$A$1:$O$85,15,0))</f>
        <v>310.5</v>
      </c>
      <c r="Y62" s="6"/>
      <c r="Z62" s="6">
        <f ca="1">('TUSD BE'!$AM$20+'TUSD BF'!$AM$20+'TUSD CVA'!$AM$20)*1</f>
        <v>311.36800256146012</v>
      </c>
      <c r="AA62" s="6">
        <f>('TE BE'!$AB$10+'TE BF'!$AB$10+'TE CVA'!$AB$10)*1</f>
        <v>221.79210547670309</v>
      </c>
      <c r="AB62" s="6">
        <f>$K$62*$V$62</f>
        <v>0</v>
      </c>
      <c r="AC62" s="6">
        <f>$M$62*$W$62</f>
        <v>11773.42145</v>
      </c>
      <c r="AD62" s="6">
        <f>$O$62*$X$62</f>
        <v>12039.016500000002</v>
      </c>
      <c r="AE62" s="6">
        <f>$K$62*$Y$62</f>
        <v>0</v>
      </c>
      <c r="AF62" s="6">
        <f ca="1">$M$62*$Z$62</f>
        <v>12072.671563315494</v>
      </c>
      <c r="AG62" s="6">
        <f>$O$62*$AA$62</f>
        <v>8599.5453056482093</v>
      </c>
    </row>
    <row r="63" spans="1:33" ht="11.25" customHeight="1" x14ac:dyDescent="0.3">
      <c r="A63" s="4" t="s">
        <v>21</v>
      </c>
      <c r="B63" s="4" t="s">
        <v>22</v>
      </c>
      <c r="C63" s="4" t="s">
        <v>23</v>
      </c>
      <c r="D63" s="4" t="s">
        <v>24</v>
      </c>
      <c r="E63" s="4" t="s">
        <v>24</v>
      </c>
      <c r="F63" s="4" t="s">
        <v>25</v>
      </c>
      <c r="G63" s="4" t="s">
        <v>25</v>
      </c>
      <c r="H63" s="4" t="s">
        <v>25</v>
      </c>
      <c r="I63" s="5">
        <v>44470</v>
      </c>
      <c r="J63" s="6">
        <v>0</v>
      </c>
      <c r="K63" s="6">
        <v>0</v>
      </c>
      <c r="L63" s="6">
        <v>37.901000000000003</v>
      </c>
      <c r="M63" s="6">
        <v>37.901000000000003</v>
      </c>
      <c r="N63" s="6">
        <v>37.901000000000003</v>
      </c>
      <c r="O63" s="6">
        <v>37.901000000000003</v>
      </c>
      <c r="P63" s="6">
        <v>263</v>
      </c>
      <c r="Q63" s="4" t="s">
        <v>26</v>
      </c>
      <c r="R63" s="4">
        <v>0</v>
      </c>
      <c r="S63" s="6">
        <v>0</v>
      </c>
      <c r="T63" s="6">
        <v>20</v>
      </c>
      <c r="U63" s="6">
        <v>37</v>
      </c>
      <c r="V63" s="6">
        <f>IF(ISERROR(VLOOKUP($S$63,'TAR FIN'!$A$1:$O$85,15,0)),0,VLOOKUP($S$63,'TAR FIN'!$A$1:$O$85,15,0))</f>
        <v>0</v>
      </c>
      <c r="W63" s="6">
        <f>IF(ISERROR(VLOOKUP($T$63,'TAR FIN'!$A$1:$O$85,15,0)),0,VLOOKUP($T$63,'TAR FIN'!$A$1:$O$85,15,0))</f>
        <v>303.64999999999998</v>
      </c>
      <c r="X63" s="6">
        <f>IF(ISERROR(VLOOKUP($U$63,'TAR FIN'!$A$1:$O$85,15,0)),0,VLOOKUP($U$63,'TAR FIN'!$A$1:$O$85,15,0))</f>
        <v>310.5</v>
      </c>
      <c r="Y63" s="6"/>
      <c r="Z63" s="6">
        <f ca="1">('TUSD BE'!$AM$20+'TUSD BF'!$AM$20+'TUSD CVA'!$AM$20)*1</f>
        <v>311.36800256146012</v>
      </c>
      <c r="AA63" s="6">
        <f>('TE BE'!$AB$10+'TE BF'!$AB$10+'TE CVA'!$AB$10)*1</f>
        <v>221.79210547670309</v>
      </c>
      <c r="AB63" s="6">
        <f>$K$63*$V$63</f>
        <v>0</v>
      </c>
      <c r="AC63" s="6">
        <f>$M$63*$W$63</f>
        <v>11508.638650000001</v>
      </c>
      <c r="AD63" s="6">
        <f>$O$63*$X$63</f>
        <v>11768.2605</v>
      </c>
      <c r="AE63" s="6">
        <f>$K$63*$Y$63</f>
        <v>0</v>
      </c>
      <c r="AF63" s="6">
        <f ca="1">$M$63*$Z$63</f>
        <v>11801.158665081901</v>
      </c>
      <c r="AG63" s="6">
        <f>$O$63*$AA$63</f>
        <v>8406.142589672525</v>
      </c>
    </row>
    <row r="64" spans="1:33" ht="11.25" customHeight="1" x14ac:dyDescent="0.3">
      <c r="A64" s="4" t="s">
        <v>21</v>
      </c>
      <c r="B64" s="4" t="s">
        <v>22</v>
      </c>
      <c r="C64" s="4" t="s">
        <v>23</v>
      </c>
      <c r="D64" s="4" t="s">
        <v>24</v>
      </c>
      <c r="E64" s="4" t="s">
        <v>24</v>
      </c>
      <c r="F64" s="4" t="s">
        <v>25</v>
      </c>
      <c r="G64" s="4" t="s">
        <v>25</v>
      </c>
      <c r="H64" s="4" t="s">
        <v>25</v>
      </c>
      <c r="I64" s="5">
        <v>44501</v>
      </c>
      <c r="J64" s="6">
        <v>0</v>
      </c>
      <c r="K64" s="6">
        <v>0</v>
      </c>
      <c r="L64" s="6">
        <v>35.085000000000001</v>
      </c>
      <c r="M64" s="6">
        <v>35.085000000000001</v>
      </c>
      <c r="N64" s="6">
        <v>35.085000000000001</v>
      </c>
      <c r="O64" s="6">
        <v>35.085000000000001</v>
      </c>
      <c r="P64" s="6">
        <v>258</v>
      </c>
      <c r="Q64" s="4" t="s">
        <v>26</v>
      </c>
      <c r="R64" s="4">
        <v>0</v>
      </c>
      <c r="S64" s="6">
        <v>0</v>
      </c>
      <c r="T64" s="6">
        <v>20</v>
      </c>
      <c r="U64" s="6">
        <v>37</v>
      </c>
      <c r="V64" s="6">
        <f>IF(ISERROR(VLOOKUP($S$64,'TAR FIN'!$A$1:$O$85,15,0)),0,VLOOKUP($S$64,'TAR FIN'!$A$1:$O$85,15,0))</f>
        <v>0</v>
      </c>
      <c r="W64" s="6">
        <f>IF(ISERROR(VLOOKUP($T$64,'TAR FIN'!$A$1:$O$85,15,0)),0,VLOOKUP($T$64,'TAR FIN'!$A$1:$O$85,15,0))</f>
        <v>303.64999999999998</v>
      </c>
      <c r="X64" s="6">
        <f>IF(ISERROR(VLOOKUP($U$64,'TAR FIN'!$A$1:$O$85,15,0)),0,VLOOKUP($U$64,'TAR FIN'!$A$1:$O$85,15,0))</f>
        <v>310.5</v>
      </c>
      <c r="Y64" s="6"/>
      <c r="Z64" s="6">
        <f ca="1">('TUSD BE'!$AM$20+'TUSD BF'!$AM$20+'TUSD CVA'!$AM$20)*1</f>
        <v>311.36800256146012</v>
      </c>
      <c r="AA64" s="6">
        <f>('TE BE'!$AB$10+'TE BF'!$AB$10+'TE CVA'!$AB$10)*1</f>
        <v>221.79210547670309</v>
      </c>
      <c r="AB64" s="6">
        <f>$K$64*$V$64</f>
        <v>0</v>
      </c>
      <c r="AC64" s="6">
        <f>$M$64*$W$64</f>
        <v>10653.560249999999</v>
      </c>
      <c r="AD64" s="6">
        <f>$O$64*$X$64</f>
        <v>10893.8925</v>
      </c>
      <c r="AE64" s="6">
        <f>$K$64*$Y$64</f>
        <v>0</v>
      </c>
      <c r="AF64" s="6">
        <f ca="1">$M$64*$Z$64</f>
        <v>10924.346369868828</v>
      </c>
      <c r="AG64" s="6">
        <f>$O$64*$AA$64</f>
        <v>7781.5760206501282</v>
      </c>
    </row>
    <row r="65" spans="1:33" ht="11.25" customHeight="1" x14ac:dyDescent="0.3">
      <c r="A65" s="4" t="s">
        <v>21</v>
      </c>
      <c r="B65" s="4" t="s">
        <v>22</v>
      </c>
      <c r="C65" s="4" t="s">
        <v>23</v>
      </c>
      <c r="D65" s="4" t="s">
        <v>24</v>
      </c>
      <c r="E65" s="4" t="s">
        <v>24</v>
      </c>
      <c r="F65" s="4" t="s">
        <v>25</v>
      </c>
      <c r="G65" s="4" t="s">
        <v>25</v>
      </c>
      <c r="H65" s="4" t="s">
        <v>25</v>
      </c>
      <c r="I65" s="5">
        <v>44531</v>
      </c>
      <c r="J65" s="6">
        <v>0</v>
      </c>
      <c r="K65" s="6">
        <v>0</v>
      </c>
      <c r="L65" s="6">
        <v>33</v>
      </c>
      <c r="M65" s="6">
        <v>33</v>
      </c>
      <c r="N65" s="6">
        <v>33</v>
      </c>
      <c r="O65" s="6">
        <v>33</v>
      </c>
      <c r="P65" s="6">
        <v>262</v>
      </c>
      <c r="Q65" s="4" t="s">
        <v>26</v>
      </c>
      <c r="R65" s="4">
        <v>0</v>
      </c>
      <c r="S65" s="6">
        <v>0</v>
      </c>
      <c r="T65" s="6">
        <v>20</v>
      </c>
      <c r="U65" s="6">
        <v>37</v>
      </c>
      <c r="V65" s="6">
        <f>IF(ISERROR(VLOOKUP($S$65,'TAR FIN'!$A$1:$O$85,15,0)),0,VLOOKUP($S$65,'TAR FIN'!$A$1:$O$85,15,0))</f>
        <v>0</v>
      </c>
      <c r="W65" s="6">
        <f>IF(ISERROR(VLOOKUP($T$65,'TAR FIN'!$A$1:$O$85,15,0)),0,VLOOKUP($T$65,'TAR FIN'!$A$1:$O$85,15,0))</f>
        <v>303.64999999999998</v>
      </c>
      <c r="X65" s="6">
        <f>IF(ISERROR(VLOOKUP($U$65,'TAR FIN'!$A$1:$O$85,15,0)),0,VLOOKUP($U$65,'TAR FIN'!$A$1:$O$85,15,0))</f>
        <v>310.5</v>
      </c>
      <c r="Y65" s="6"/>
      <c r="Z65" s="6">
        <f ca="1">('TUSD BE'!$AM$20+'TUSD BF'!$AM$20+'TUSD CVA'!$AM$20)*1</f>
        <v>311.36800256146012</v>
      </c>
      <c r="AA65" s="6">
        <f>('TE BE'!$AB$10+'TE BF'!$AB$10+'TE CVA'!$AB$10)*1</f>
        <v>221.79210547670309</v>
      </c>
      <c r="AB65" s="6">
        <f>$K$65*$V$65</f>
        <v>0</v>
      </c>
      <c r="AC65" s="6">
        <f>$M$65*$W$65</f>
        <v>10020.449999999999</v>
      </c>
      <c r="AD65" s="6">
        <f>$O$65*$X$65</f>
        <v>10246.5</v>
      </c>
      <c r="AE65" s="6">
        <f>$K$65*$Y$65</f>
        <v>0</v>
      </c>
      <c r="AF65" s="6">
        <f ca="1">$M$65*$Z$65</f>
        <v>10275.144084528183</v>
      </c>
      <c r="AG65" s="6">
        <f>$O$65*$AA$65</f>
        <v>7319.1394807312017</v>
      </c>
    </row>
    <row r="66" spans="1:33" ht="11.25" customHeight="1" x14ac:dyDescent="0.3">
      <c r="A66" s="4" t="s">
        <v>21</v>
      </c>
      <c r="B66" s="4" t="s">
        <v>22</v>
      </c>
      <c r="C66" s="4" t="s">
        <v>23</v>
      </c>
      <c r="D66" s="4" t="s">
        <v>24</v>
      </c>
      <c r="E66" s="4" t="s">
        <v>24</v>
      </c>
      <c r="F66" s="4" t="s">
        <v>25</v>
      </c>
      <c r="G66" s="4" t="s">
        <v>25</v>
      </c>
      <c r="H66" s="4" t="s">
        <v>25</v>
      </c>
      <c r="I66" s="5">
        <v>44562</v>
      </c>
      <c r="J66" s="6">
        <v>0</v>
      </c>
      <c r="K66" s="6">
        <v>0</v>
      </c>
      <c r="L66" s="6">
        <v>41.52</v>
      </c>
      <c r="M66" s="6">
        <v>41.52</v>
      </c>
      <c r="N66" s="6">
        <v>41.52</v>
      </c>
      <c r="O66" s="6">
        <v>41.52</v>
      </c>
      <c r="P66" s="6">
        <v>262</v>
      </c>
      <c r="Q66" s="4" t="s">
        <v>26</v>
      </c>
      <c r="R66" s="4">
        <v>0</v>
      </c>
      <c r="S66" s="6">
        <v>0</v>
      </c>
      <c r="T66" s="6">
        <v>20</v>
      </c>
      <c r="U66" s="6">
        <v>37</v>
      </c>
      <c r="V66" s="6">
        <f>IF(ISERROR(VLOOKUP($S$66,'TAR FIN'!$A$1:$O$85,15,0)),0,VLOOKUP($S$66,'TAR FIN'!$A$1:$O$85,15,0))</f>
        <v>0</v>
      </c>
      <c r="W66" s="6">
        <f>IF(ISERROR(VLOOKUP($T$66,'TAR FIN'!$A$1:$O$85,15,0)),0,VLOOKUP($T$66,'TAR FIN'!$A$1:$O$85,15,0))</f>
        <v>303.64999999999998</v>
      </c>
      <c r="X66" s="6">
        <f>IF(ISERROR(VLOOKUP($U$66,'TAR FIN'!$A$1:$O$85,15,0)),0,VLOOKUP($U$66,'TAR FIN'!$A$1:$O$85,15,0))</f>
        <v>310.5</v>
      </c>
      <c r="Y66" s="6"/>
      <c r="Z66" s="6">
        <f ca="1">('TUSD BE'!$AM$20+'TUSD BF'!$AM$20+'TUSD CVA'!$AM$20)*1</f>
        <v>311.36800256146012</v>
      </c>
      <c r="AA66" s="6">
        <f>('TE BE'!$AB$10+'TE BF'!$AB$10+'TE CVA'!$AB$10)*1</f>
        <v>221.79210547670309</v>
      </c>
      <c r="AB66" s="6">
        <f>$K$66*$V$66</f>
        <v>0</v>
      </c>
      <c r="AC66" s="6">
        <f>$M$66*$W$66</f>
        <v>12607.548000000001</v>
      </c>
      <c r="AD66" s="6">
        <f>$O$66*$X$66</f>
        <v>12891.960000000001</v>
      </c>
      <c r="AE66" s="6">
        <f>$K$66*$Y$66</f>
        <v>0</v>
      </c>
      <c r="AF66" s="6">
        <f ca="1">$M$66*$Z$66</f>
        <v>12927.999466351825</v>
      </c>
      <c r="AG66" s="6">
        <f>$O$66*$AA$66</f>
        <v>9208.808219392713</v>
      </c>
    </row>
    <row r="67" spans="1:33" ht="11.25" customHeight="1" x14ac:dyDescent="0.3">
      <c r="A67" s="4" t="s">
        <v>21</v>
      </c>
      <c r="B67" s="4" t="s">
        <v>22</v>
      </c>
      <c r="C67" s="4" t="s">
        <v>23</v>
      </c>
      <c r="D67" s="4" t="s">
        <v>24</v>
      </c>
      <c r="E67" s="4" t="s">
        <v>24</v>
      </c>
      <c r="F67" s="4" t="s">
        <v>25</v>
      </c>
      <c r="G67" s="4" t="s">
        <v>25</v>
      </c>
      <c r="H67" s="4" t="s">
        <v>25</v>
      </c>
      <c r="I67" s="5">
        <v>44593</v>
      </c>
      <c r="J67" s="6">
        <v>0</v>
      </c>
      <c r="K67" s="6">
        <v>0</v>
      </c>
      <c r="L67" s="6">
        <v>35.936999999999998</v>
      </c>
      <c r="M67" s="6">
        <v>35.936999999999998</v>
      </c>
      <c r="N67" s="6">
        <v>35.936999999999998</v>
      </c>
      <c r="O67" s="6">
        <v>35.936999999999998</v>
      </c>
      <c r="P67" s="6">
        <v>262</v>
      </c>
      <c r="Q67" s="4" t="s">
        <v>26</v>
      </c>
      <c r="R67" s="4">
        <v>0</v>
      </c>
      <c r="S67" s="6">
        <v>0</v>
      </c>
      <c r="T67" s="6">
        <v>20</v>
      </c>
      <c r="U67" s="6">
        <v>37</v>
      </c>
      <c r="V67" s="6">
        <f>IF(ISERROR(VLOOKUP($S$67,'TAR FIN'!$A$1:$O$85,15,0)),0,VLOOKUP($S$67,'TAR FIN'!$A$1:$O$85,15,0))</f>
        <v>0</v>
      </c>
      <c r="W67" s="6">
        <f>IF(ISERROR(VLOOKUP($T$67,'TAR FIN'!$A$1:$O$85,15,0)),0,VLOOKUP($T$67,'TAR FIN'!$A$1:$O$85,15,0))</f>
        <v>303.64999999999998</v>
      </c>
      <c r="X67" s="6">
        <f>IF(ISERROR(VLOOKUP($U$67,'TAR FIN'!$A$1:$O$85,15,0)),0,VLOOKUP($U$67,'TAR FIN'!$A$1:$O$85,15,0))</f>
        <v>310.5</v>
      </c>
      <c r="Y67" s="6"/>
      <c r="Z67" s="6">
        <f ca="1">('TUSD BE'!$AM$20+'TUSD BF'!$AM$20+'TUSD CVA'!$AM$20)*1</f>
        <v>311.36800256146012</v>
      </c>
      <c r="AA67" s="6">
        <f>('TE BE'!$AB$10+'TE BF'!$AB$10+'TE CVA'!$AB$10)*1</f>
        <v>221.79210547670309</v>
      </c>
      <c r="AB67" s="6">
        <f>$K$67*$V$67</f>
        <v>0</v>
      </c>
      <c r="AC67" s="6">
        <f>$M$67*$W$67</f>
        <v>10912.270049999999</v>
      </c>
      <c r="AD67" s="6">
        <f>$O$67*$X$67</f>
        <v>11158.438499999998</v>
      </c>
      <c r="AE67" s="6">
        <f>$K$67*$Y$67</f>
        <v>0</v>
      </c>
      <c r="AF67" s="6">
        <f ca="1">$M$67*$Z$67</f>
        <v>11189.631908051191</v>
      </c>
      <c r="AG67" s="6">
        <f>$O$67*$AA$67</f>
        <v>7970.5428945162785</v>
      </c>
    </row>
    <row r="68" spans="1:33" ht="11.25" customHeight="1" x14ac:dyDescent="0.3">
      <c r="A68" s="4" t="s">
        <v>21</v>
      </c>
      <c r="B68" s="4" t="s">
        <v>22</v>
      </c>
      <c r="C68" s="4" t="s">
        <v>23</v>
      </c>
      <c r="D68" s="4" t="s">
        <v>24</v>
      </c>
      <c r="E68" s="4" t="s">
        <v>24</v>
      </c>
      <c r="F68" s="4" t="s">
        <v>25</v>
      </c>
      <c r="G68" s="4" t="s">
        <v>25</v>
      </c>
      <c r="H68" s="4" t="s">
        <v>25</v>
      </c>
      <c r="I68" s="5">
        <v>44621</v>
      </c>
      <c r="J68" s="6">
        <v>0</v>
      </c>
      <c r="K68" s="6">
        <v>0</v>
      </c>
      <c r="L68" s="6">
        <v>34.155999999999999</v>
      </c>
      <c r="M68" s="6">
        <v>34.155999999999999</v>
      </c>
      <c r="N68" s="6">
        <v>34.155999999999999</v>
      </c>
      <c r="O68" s="6">
        <v>34.155999999999999</v>
      </c>
      <c r="P68" s="6">
        <v>256</v>
      </c>
      <c r="Q68" s="4" t="s">
        <v>26</v>
      </c>
      <c r="R68" s="4">
        <v>0</v>
      </c>
      <c r="S68" s="6">
        <v>0</v>
      </c>
      <c r="T68" s="6">
        <v>20</v>
      </c>
      <c r="U68" s="6">
        <v>37</v>
      </c>
      <c r="V68" s="6">
        <f>IF(ISERROR(VLOOKUP($S$68,'TAR FIN'!$A$1:$O$85,15,0)),0,VLOOKUP($S$68,'TAR FIN'!$A$1:$O$85,15,0))</f>
        <v>0</v>
      </c>
      <c r="W68" s="6">
        <f>IF(ISERROR(VLOOKUP($T$68,'TAR FIN'!$A$1:$O$85,15,0)),0,VLOOKUP($T$68,'TAR FIN'!$A$1:$O$85,15,0))</f>
        <v>303.64999999999998</v>
      </c>
      <c r="X68" s="6">
        <f>IF(ISERROR(VLOOKUP($U$68,'TAR FIN'!$A$1:$O$85,15,0)),0,VLOOKUP($U$68,'TAR FIN'!$A$1:$O$85,15,0))</f>
        <v>310.5</v>
      </c>
      <c r="Y68" s="6"/>
      <c r="Z68" s="6">
        <f ca="1">('TUSD BE'!$AM$20+'TUSD BF'!$AM$20+'TUSD CVA'!$AM$20)*1</f>
        <v>311.36800256146012</v>
      </c>
      <c r="AA68" s="6">
        <f>('TE BE'!$AB$10+'TE BF'!$AB$10+'TE CVA'!$AB$10)*1</f>
        <v>221.79210547670309</v>
      </c>
      <c r="AB68" s="6">
        <f>$K$68*$V$68</f>
        <v>0</v>
      </c>
      <c r="AC68" s="6">
        <f>$M$68*$W$68</f>
        <v>10371.469399999998</v>
      </c>
      <c r="AD68" s="6">
        <f>$O$68*$X$68</f>
        <v>10605.438</v>
      </c>
      <c r="AE68" s="6">
        <f>$K$68*$Y$68</f>
        <v>0</v>
      </c>
      <c r="AF68" s="6">
        <f ca="1">$M$68*$Z$68</f>
        <v>10635.085495489231</v>
      </c>
      <c r="AG68" s="6">
        <f>$O$68*$AA$68</f>
        <v>7575.5311546622706</v>
      </c>
    </row>
    <row r="69" spans="1:33" ht="11.25" customHeight="1" x14ac:dyDescent="0.3">
      <c r="A69" s="4" t="s">
        <v>41</v>
      </c>
      <c r="B69" s="4" t="s">
        <v>22</v>
      </c>
      <c r="C69" s="4" t="s">
        <v>23</v>
      </c>
      <c r="D69" s="4" t="s">
        <v>24</v>
      </c>
      <c r="E69" s="4" t="s">
        <v>24</v>
      </c>
      <c r="F69" s="4" t="s">
        <v>25</v>
      </c>
      <c r="G69" s="4" t="s">
        <v>25</v>
      </c>
      <c r="H69" s="4" t="s">
        <v>25</v>
      </c>
      <c r="I69" s="5">
        <v>44621</v>
      </c>
      <c r="J69" s="6">
        <v>0</v>
      </c>
      <c r="K69" s="6">
        <v>0</v>
      </c>
      <c r="L69" s="6">
        <v>0.22900000000000001</v>
      </c>
      <c r="M69" s="6">
        <v>0.22900000000000001</v>
      </c>
      <c r="N69" s="6">
        <v>0.22900000000000001</v>
      </c>
      <c r="O69" s="6">
        <v>0.22900000000000001</v>
      </c>
      <c r="P69" s="6">
        <v>1</v>
      </c>
      <c r="Q69" s="4" t="s">
        <v>26</v>
      </c>
      <c r="R69" s="4">
        <v>0</v>
      </c>
      <c r="S69" s="6">
        <v>0</v>
      </c>
      <c r="T69" s="6">
        <v>20</v>
      </c>
      <c r="U69" s="6">
        <v>37</v>
      </c>
      <c r="V69" s="6">
        <f>IF(ISERROR(VLOOKUP($S$69,'TAR FIN'!$A$1:$O$85,15,0)),0,VLOOKUP($S$69,'TAR FIN'!$A$1:$O$85,15,0))</f>
        <v>0</v>
      </c>
      <c r="W69" s="6">
        <f>IF(ISERROR(VLOOKUP($T$69,'TAR FIN'!$A$1:$O$85,15,0)),0,VLOOKUP($T$69,'TAR FIN'!$A$1:$O$85,15,0))</f>
        <v>303.64999999999998</v>
      </c>
      <c r="X69" s="6">
        <f>IF(ISERROR(VLOOKUP($U$69,'TAR FIN'!$A$1:$O$85,15,0)),0,VLOOKUP($U$69,'TAR FIN'!$A$1:$O$85,15,0))</f>
        <v>310.5</v>
      </c>
      <c r="Y69" s="6"/>
      <c r="Z69" s="6">
        <f ca="1">('TUSD BE'!$AM$20+'TUSD BF'!$AM$20+'TUSD CVA'!$AM$20)*1</f>
        <v>311.36800256146012</v>
      </c>
      <c r="AA69" s="6">
        <f>('TE BE'!$AB$10+'TE BF'!$AB$10+'TE CVA'!$AB$10)*1</f>
        <v>221.79210547670309</v>
      </c>
      <c r="AB69" s="6">
        <f>$K$69*$V$69</f>
        <v>0</v>
      </c>
      <c r="AC69" s="6">
        <f>$M$69*$W$69</f>
        <v>69.535849999999996</v>
      </c>
      <c r="AD69" s="6">
        <f>$O$69*$X$69</f>
        <v>71.104500000000002</v>
      </c>
      <c r="AE69" s="6">
        <f>$K$69*$Y$69</f>
        <v>0</v>
      </c>
      <c r="AF69" s="6">
        <f ca="1">$M$69*$Z$69</f>
        <v>71.303272586574366</v>
      </c>
      <c r="AG69" s="6">
        <f>$O$69*$AA$69</f>
        <v>50.790392154165012</v>
      </c>
    </row>
    <row r="70" spans="1:33" ht="11.25" customHeight="1" x14ac:dyDescent="0.3">
      <c r="A70" s="4" t="s">
        <v>21</v>
      </c>
      <c r="B70" s="4" t="s">
        <v>22</v>
      </c>
      <c r="C70" s="4" t="s">
        <v>23</v>
      </c>
      <c r="D70" s="4" t="s">
        <v>24</v>
      </c>
      <c r="E70" s="4" t="s">
        <v>24</v>
      </c>
      <c r="F70" s="4" t="s">
        <v>25</v>
      </c>
      <c r="G70" s="4" t="s">
        <v>25</v>
      </c>
      <c r="H70" s="4" t="s">
        <v>25</v>
      </c>
      <c r="I70" s="5">
        <v>44652</v>
      </c>
      <c r="J70" s="6">
        <v>0</v>
      </c>
      <c r="K70" s="6">
        <v>0</v>
      </c>
      <c r="L70" s="6">
        <v>31.923999999999999</v>
      </c>
      <c r="M70" s="6">
        <v>31.923999999999999</v>
      </c>
      <c r="N70" s="6">
        <v>31.923999999999999</v>
      </c>
      <c r="O70" s="6">
        <v>31.923999999999999</v>
      </c>
      <c r="P70" s="6">
        <v>256</v>
      </c>
      <c r="Q70" s="4" t="s">
        <v>26</v>
      </c>
      <c r="R70" s="4">
        <v>0</v>
      </c>
      <c r="S70" s="6">
        <v>0</v>
      </c>
      <c r="T70" s="6">
        <v>20</v>
      </c>
      <c r="U70" s="6">
        <v>37</v>
      </c>
      <c r="V70" s="6">
        <f>IF(ISERROR(VLOOKUP($S$70,'TAR FIN'!$A$1:$O$85,15,0)),0,VLOOKUP($S$70,'TAR FIN'!$A$1:$O$85,15,0))</f>
        <v>0</v>
      </c>
      <c r="W70" s="6">
        <f>IF(ISERROR(VLOOKUP($T$70,'TAR FIN'!$A$1:$O$85,15,0)),0,VLOOKUP($T$70,'TAR FIN'!$A$1:$O$85,15,0))</f>
        <v>303.64999999999998</v>
      </c>
      <c r="X70" s="6">
        <f>IF(ISERROR(VLOOKUP($U$70,'TAR FIN'!$A$1:$O$85,15,0)),0,VLOOKUP($U$70,'TAR FIN'!$A$1:$O$85,15,0))</f>
        <v>310.5</v>
      </c>
      <c r="Y70" s="6"/>
      <c r="Z70" s="6">
        <f ca="1">('TUSD BE'!$AM$20+'TUSD BF'!$AM$20+'TUSD CVA'!$AM$20)*1</f>
        <v>311.36800256146012</v>
      </c>
      <c r="AA70" s="6">
        <f>('TE BE'!$AB$10+'TE BF'!$AB$10+'TE CVA'!$AB$10)*1</f>
        <v>221.79210547670309</v>
      </c>
      <c r="AB70" s="6">
        <f>$K$70*$V$70</f>
        <v>0</v>
      </c>
      <c r="AC70" s="6">
        <f>$M$70*$W$70</f>
        <v>9693.7225999999991</v>
      </c>
      <c r="AD70" s="6">
        <f>$O$70*$X$70</f>
        <v>9912.402</v>
      </c>
      <c r="AE70" s="6">
        <f>$K$70*$Y$70</f>
        <v>0</v>
      </c>
      <c r="AF70" s="6">
        <f ca="1">$M$70*$Z$70</f>
        <v>9940.1121137720529</v>
      </c>
      <c r="AG70" s="6">
        <f>$O$70*$AA$70</f>
        <v>7080.4911752382695</v>
      </c>
    </row>
    <row r="71" spans="1:33" ht="11.25" customHeight="1" x14ac:dyDescent="0.3">
      <c r="A71" s="4" t="s">
        <v>41</v>
      </c>
      <c r="B71" s="4" t="s">
        <v>22</v>
      </c>
      <c r="C71" s="4" t="s">
        <v>23</v>
      </c>
      <c r="D71" s="4" t="s">
        <v>24</v>
      </c>
      <c r="E71" s="4" t="s">
        <v>24</v>
      </c>
      <c r="F71" s="4" t="s">
        <v>25</v>
      </c>
      <c r="G71" s="4" t="s">
        <v>25</v>
      </c>
      <c r="H71" s="4" t="s">
        <v>25</v>
      </c>
      <c r="I71" s="5">
        <v>44652</v>
      </c>
      <c r="J71" s="6">
        <v>0</v>
      </c>
      <c r="K71" s="6">
        <v>0</v>
      </c>
      <c r="L71" s="6">
        <v>0.1</v>
      </c>
      <c r="M71" s="6">
        <v>0.1</v>
      </c>
      <c r="N71" s="6">
        <v>0.1</v>
      </c>
      <c r="O71" s="6">
        <v>0.1</v>
      </c>
      <c r="P71" s="6">
        <v>1</v>
      </c>
      <c r="Q71" s="4" t="s">
        <v>26</v>
      </c>
      <c r="R71" s="4">
        <v>0</v>
      </c>
      <c r="S71" s="6">
        <v>0</v>
      </c>
      <c r="T71" s="6">
        <v>20</v>
      </c>
      <c r="U71" s="6">
        <v>37</v>
      </c>
      <c r="V71" s="6">
        <f>IF(ISERROR(VLOOKUP($S$71,'TAR FIN'!$A$1:$O$85,15,0)),0,VLOOKUP($S$71,'TAR FIN'!$A$1:$O$85,15,0))</f>
        <v>0</v>
      </c>
      <c r="W71" s="6">
        <f>IF(ISERROR(VLOOKUP($T$71,'TAR FIN'!$A$1:$O$85,15,0)),0,VLOOKUP($T$71,'TAR FIN'!$A$1:$O$85,15,0))</f>
        <v>303.64999999999998</v>
      </c>
      <c r="X71" s="6">
        <f>IF(ISERROR(VLOOKUP($U$71,'TAR FIN'!$A$1:$O$85,15,0)),0,VLOOKUP($U$71,'TAR FIN'!$A$1:$O$85,15,0))</f>
        <v>310.5</v>
      </c>
      <c r="Y71" s="6"/>
      <c r="Z71" s="6">
        <f ca="1">('TUSD BE'!$AM$20+'TUSD BF'!$AM$20+'TUSD CVA'!$AM$20)*1</f>
        <v>311.36800256146012</v>
      </c>
      <c r="AA71" s="6">
        <f>('TE BE'!$AB$10+'TE BF'!$AB$10+'TE CVA'!$AB$10)*1</f>
        <v>221.79210547670309</v>
      </c>
      <c r="AB71" s="6">
        <f>$K$71*$V$71</f>
        <v>0</v>
      </c>
      <c r="AC71" s="6">
        <f>$M$71*$W$71</f>
        <v>30.364999999999998</v>
      </c>
      <c r="AD71" s="6">
        <f>$O$71*$X$71</f>
        <v>31.05</v>
      </c>
      <c r="AE71" s="6">
        <f>$K$71*$Y$71</f>
        <v>0</v>
      </c>
      <c r="AF71" s="6">
        <f ca="1">$M$71*$Z$71</f>
        <v>31.136800256146014</v>
      </c>
      <c r="AG71" s="6">
        <f>$O$71*$AA$71</f>
        <v>22.179210547670309</v>
      </c>
    </row>
    <row r="72" spans="1:33" ht="11.25" customHeight="1" x14ac:dyDescent="0.3">
      <c r="A72" s="4" t="s">
        <v>21</v>
      </c>
      <c r="B72" s="4" t="s">
        <v>22</v>
      </c>
      <c r="C72" s="4" t="s">
        <v>23</v>
      </c>
      <c r="D72" s="4" t="s">
        <v>24</v>
      </c>
      <c r="E72" s="4" t="s">
        <v>24</v>
      </c>
      <c r="F72" s="4" t="s">
        <v>25</v>
      </c>
      <c r="G72" s="4" t="s">
        <v>25</v>
      </c>
      <c r="H72" s="4" t="s">
        <v>25</v>
      </c>
      <c r="I72" s="5">
        <v>44682</v>
      </c>
      <c r="J72" s="6">
        <v>0</v>
      </c>
      <c r="K72" s="6">
        <v>0</v>
      </c>
      <c r="L72" s="6">
        <v>34.506999999999998</v>
      </c>
      <c r="M72" s="6">
        <v>34.506999999999998</v>
      </c>
      <c r="N72" s="6">
        <v>34.506999999999998</v>
      </c>
      <c r="O72" s="6">
        <v>34.506999999999998</v>
      </c>
      <c r="P72" s="6">
        <v>261</v>
      </c>
      <c r="Q72" s="4" t="s">
        <v>26</v>
      </c>
      <c r="R72" s="4">
        <v>0</v>
      </c>
      <c r="S72" s="6">
        <v>0</v>
      </c>
      <c r="T72" s="6">
        <v>20</v>
      </c>
      <c r="U72" s="6">
        <v>37</v>
      </c>
      <c r="V72" s="6">
        <f>IF(ISERROR(VLOOKUP($S$72,'TAR FIN'!$A$1:$O$85,15,0)),0,VLOOKUP($S$72,'TAR FIN'!$A$1:$O$85,15,0))</f>
        <v>0</v>
      </c>
      <c r="W72" s="6">
        <f>IF(ISERROR(VLOOKUP($T$72,'TAR FIN'!$A$1:$O$85,15,0)),0,VLOOKUP($T$72,'TAR FIN'!$A$1:$O$85,15,0))</f>
        <v>303.64999999999998</v>
      </c>
      <c r="X72" s="6">
        <f>IF(ISERROR(VLOOKUP($U$72,'TAR FIN'!$A$1:$O$85,15,0)),0,VLOOKUP($U$72,'TAR FIN'!$A$1:$O$85,15,0))</f>
        <v>310.5</v>
      </c>
      <c r="Y72" s="6"/>
      <c r="Z72" s="6">
        <f ca="1">('TUSD BE'!$AM$20+'TUSD BF'!$AM$20+'TUSD CVA'!$AM$20)*1</f>
        <v>311.36800256146012</v>
      </c>
      <c r="AA72" s="6">
        <f>('TE BE'!$AB$10+'TE BF'!$AB$10+'TE CVA'!$AB$10)*1</f>
        <v>221.79210547670309</v>
      </c>
      <c r="AB72" s="6">
        <f>$K$72*$V$72</f>
        <v>0</v>
      </c>
      <c r="AC72" s="6">
        <f>$M$72*$W$72</f>
        <v>10478.050549999998</v>
      </c>
      <c r="AD72" s="6">
        <f>$O$72*$X$72</f>
        <v>10714.423499999999</v>
      </c>
      <c r="AE72" s="6">
        <f>$K$72*$Y$72</f>
        <v>0</v>
      </c>
      <c r="AF72" s="6">
        <f ca="1">$M$72*$Z$72</f>
        <v>10744.375664388304</v>
      </c>
      <c r="AG72" s="6">
        <f>$O$72*$AA$72</f>
        <v>7653.3801836845932</v>
      </c>
    </row>
    <row r="73" spans="1:33" ht="11.25" customHeight="1" x14ac:dyDescent="0.3">
      <c r="A73" s="4" t="s">
        <v>41</v>
      </c>
      <c r="B73" s="4" t="s">
        <v>22</v>
      </c>
      <c r="C73" s="4" t="s">
        <v>23</v>
      </c>
      <c r="D73" s="4" t="s">
        <v>24</v>
      </c>
      <c r="E73" s="4" t="s">
        <v>24</v>
      </c>
      <c r="F73" s="4" t="s">
        <v>25</v>
      </c>
      <c r="G73" s="4" t="s">
        <v>25</v>
      </c>
      <c r="H73" s="4" t="s">
        <v>25</v>
      </c>
      <c r="I73" s="5">
        <v>44682</v>
      </c>
      <c r="J73" s="6">
        <v>0</v>
      </c>
      <c r="K73" s="6">
        <v>0</v>
      </c>
      <c r="L73" s="6">
        <v>0.1</v>
      </c>
      <c r="M73" s="6">
        <v>0.1</v>
      </c>
      <c r="N73" s="6">
        <v>0.1</v>
      </c>
      <c r="O73" s="6">
        <v>0.1</v>
      </c>
      <c r="P73" s="6">
        <v>1</v>
      </c>
      <c r="Q73" s="4" t="s">
        <v>26</v>
      </c>
      <c r="R73" s="4">
        <v>0</v>
      </c>
      <c r="S73" s="6">
        <v>0</v>
      </c>
      <c r="T73" s="6">
        <v>20</v>
      </c>
      <c r="U73" s="6">
        <v>37</v>
      </c>
      <c r="V73" s="6">
        <f>IF(ISERROR(VLOOKUP($S$73,'TAR FIN'!$A$1:$O$85,15,0)),0,VLOOKUP($S$73,'TAR FIN'!$A$1:$O$85,15,0))</f>
        <v>0</v>
      </c>
      <c r="W73" s="6">
        <f>IF(ISERROR(VLOOKUP($T$73,'TAR FIN'!$A$1:$O$85,15,0)),0,VLOOKUP($T$73,'TAR FIN'!$A$1:$O$85,15,0))</f>
        <v>303.64999999999998</v>
      </c>
      <c r="X73" s="6">
        <f>IF(ISERROR(VLOOKUP($U$73,'TAR FIN'!$A$1:$O$85,15,0)),0,VLOOKUP($U$73,'TAR FIN'!$A$1:$O$85,15,0))</f>
        <v>310.5</v>
      </c>
      <c r="Y73" s="6"/>
      <c r="Z73" s="6">
        <f ca="1">('TUSD BE'!$AM$20+'TUSD BF'!$AM$20+'TUSD CVA'!$AM$20)*1</f>
        <v>311.36800256146012</v>
      </c>
      <c r="AA73" s="6">
        <f>('TE BE'!$AB$10+'TE BF'!$AB$10+'TE CVA'!$AB$10)*1</f>
        <v>221.79210547670309</v>
      </c>
      <c r="AB73" s="6">
        <f>$K$73*$V$73</f>
        <v>0</v>
      </c>
      <c r="AC73" s="6">
        <f>$M$73*$W$73</f>
        <v>30.364999999999998</v>
      </c>
      <c r="AD73" s="6">
        <f>$O$73*$X$73</f>
        <v>31.05</v>
      </c>
      <c r="AE73" s="6">
        <f>$K$73*$Y$73</f>
        <v>0</v>
      </c>
      <c r="AF73" s="6">
        <f ca="1">$M$73*$Z$73</f>
        <v>31.136800256146014</v>
      </c>
      <c r="AG73" s="6">
        <f>$O$73*$AA$73</f>
        <v>22.179210547670309</v>
      </c>
    </row>
    <row r="74" spans="1:33" ht="11.25" customHeight="1" x14ac:dyDescent="0.3">
      <c r="A74" s="4" t="s">
        <v>21</v>
      </c>
      <c r="B74" s="4" t="s">
        <v>22</v>
      </c>
      <c r="C74" s="4" t="s">
        <v>23</v>
      </c>
      <c r="D74" s="4" t="s">
        <v>24</v>
      </c>
      <c r="E74" s="4" t="s">
        <v>24</v>
      </c>
      <c r="F74" s="4" t="s">
        <v>25</v>
      </c>
      <c r="G74" s="4" t="s">
        <v>25</v>
      </c>
      <c r="H74" s="4" t="s">
        <v>25</v>
      </c>
      <c r="I74" s="5">
        <v>44713</v>
      </c>
      <c r="J74" s="6">
        <v>0</v>
      </c>
      <c r="K74" s="6">
        <v>0</v>
      </c>
      <c r="L74" s="6">
        <v>36.295000000000002</v>
      </c>
      <c r="M74" s="6">
        <v>36.295000000000002</v>
      </c>
      <c r="N74" s="6">
        <v>36.295000000000002</v>
      </c>
      <c r="O74" s="6">
        <v>36.295000000000002</v>
      </c>
      <c r="P74" s="6">
        <v>262</v>
      </c>
      <c r="Q74" s="4" t="s">
        <v>26</v>
      </c>
      <c r="R74" s="4">
        <v>0</v>
      </c>
      <c r="S74" s="6">
        <v>0</v>
      </c>
      <c r="T74" s="6">
        <v>20</v>
      </c>
      <c r="U74" s="6">
        <v>37</v>
      </c>
      <c r="V74" s="6">
        <f>IF(ISERROR(VLOOKUP($S$74,'TAR FIN'!$A$1:$O$85,15,0)),0,VLOOKUP($S$74,'TAR FIN'!$A$1:$O$85,15,0))</f>
        <v>0</v>
      </c>
      <c r="W74" s="6">
        <f>IF(ISERROR(VLOOKUP($T$74,'TAR FIN'!$A$1:$O$85,15,0)),0,VLOOKUP($T$74,'TAR FIN'!$A$1:$O$85,15,0))</f>
        <v>303.64999999999998</v>
      </c>
      <c r="X74" s="6">
        <f>IF(ISERROR(VLOOKUP($U$74,'TAR FIN'!$A$1:$O$85,15,0)),0,VLOOKUP($U$74,'TAR FIN'!$A$1:$O$85,15,0))</f>
        <v>310.5</v>
      </c>
      <c r="Y74" s="6"/>
      <c r="Z74" s="6">
        <f ca="1">('TUSD BE'!$AM$20+'TUSD BF'!$AM$20+'TUSD CVA'!$AM$20)*1</f>
        <v>311.36800256146012</v>
      </c>
      <c r="AA74" s="6">
        <f>('TE BE'!$AB$10+'TE BF'!$AB$10+'TE CVA'!$AB$10)*1</f>
        <v>221.79210547670309</v>
      </c>
      <c r="AB74" s="6">
        <f>$K$74*$V$74</f>
        <v>0</v>
      </c>
      <c r="AC74" s="6">
        <f>$M$74*$W$74</f>
        <v>11020.97675</v>
      </c>
      <c r="AD74" s="6">
        <f>$O$74*$X$74</f>
        <v>11269.5975</v>
      </c>
      <c r="AE74" s="6">
        <f>$K$74*$Y$74</f>
        <v>0</v>
      </c>
      <c r="AF74" s="6">
        <f ca="1">$M$74*$Z$74</f>
        <v>11301.101652968195</v>
      </c>
      <c r="AG74" s="6">
        <f>$O$74*$AA$74</f>
        <v>8049.944468276939</v>
      </c>
    </row>
    <row r="75" spans="1:33" ht="11.25" customHeight="1" x14ac:dyDescent="0.3">
      <c r="A75" s="4" t="s">
        <v>41</v>
      </c>
      <c r="B75" s="4" t="s">
        <v>22</v>
      </c>
      <c r="C75" s="4" t="s">
        <v>23</v>
      </c>
      <c r="D75" s="4" t="s">
        <v>24</v>
      </c>
      <c r="E75" s="4" t="s">
        <v>24</v>
      </c>
      <c r="F75" s="4" t="s">
        <v>25</v>
      </c>
      <c r="G75" s="4" t="s">
        <v>25</v>
      </c>
      <c r="H75" s="4" t="s">
        <v>25</v>
      </c>
      <c r="I75" s="5">
        <v>44713</v>
      </c>
      <c r="J75" s="6">
        <v>0</v>
      </c>
      <c r="K75" s="6">
        <v>0</v>
      </c>
      <c r="L75" s="6">
        <v>0.1</v>
      </c>
      <c r="M75" s="6">
        <v>0.1</v>
      </c>
      <c r="N75" s="6">
        <v>0.1</v>
      </c>
      <c r="O75" s="6">
        <v>0.1</v>
      </c>
      <c r="P75" s="6">
        <v>1</v>
      </c>
      <c r="Q75" s="4" t="s">
        <v>26</v>
      </c>
      <c r="R75" s="4">
        <v>0</v>
      </c>
      <c r="S75" s="6">
        <v>0</v>
      </c>
      <c r="T75" s="6">
        <v>20</v>
      </c>
      <c r="U75" s="6">
        <v>37</v>
      </c>
      <c r="V75" s="6">
        <f>IF(ISERROR(VLOOKUP($S$75,'TAR FIN'!$A$1:$O$85,15,0)),0,VLOOKUP($S$75,'TAR FIN'!$A$1:$O$85,15,0))</f>
        <v>0</v>
      </c>
      <c r="W75" s="6">
        <f>IF(ISERROR(VLOOKUP($T$75,'TAR FIN'!$A$1:$O$85,15,0)),0,VLOOKUP($T$75,'TAR FIN'!$A$1:$O$85,15,0))</f>
        <v>303.64999999999998</v>
      </c>
      <c r="X75" s="6">
        <f>IF(ISERROR(VLOOKUP($U$75,'TAR FIN'!$A$1:$O$85,15,0)),0,VLOOKUP($U$75,'TAR FIN'!$A$1:$O$85,15,0))</f>
        <v>310.5</v>
      </c>
      <c r="Y75" s="6"/>
      <c r="Z75" s="6">
        <f ca="1">('TUSD BE'!$AM$20+'TUSD BF'!$AM$20+'TUSD CVA'!$AM$20)*1</f>
        <v>311.36800256146012</v>
      </c>
      <c r="AA75" s="6">
        <f>('TE BE'!$AB$10+'TE BF'!$AB$10+'TE CVA'!$AB$10)*1</f>
        <v>221.79210547670309</v>
      </c>
      <c r="AB75" s="6">
        <f>$K$75*$V$75</f>
        <v>0</v>
      </c>
      <c r="AC75" s="6">
        <f>$M$75*$W$75</f>
        <v>30.364999999999998</v>
      </c>
      <c r="AD75" s="6">
        <f>$O$75*$X$75</f>
        <v>31.05</v>
      </c>
      <c r="AE75" s="6">
        <f>$K$75*$Y$75</f>
        <v>0</v>
      </c>
      <c r="AF75" s="6">
        <f ca="1">$M$75*$Z$75</f>
        <v>31.136800256146014</v>
      </c>
      <c r="AG75" s="6">
        <f>$O$75*$AA$75</f>
        <v>22.179210547670309</v>
      </c>
    </row>
    <row r="76" spans="1:33" ht="11.25" customHeight="1" x14ac:dyDescent="0.3">
      <c r="A76" s="4" t="s">
        <v>21</v>
      </c>
      <c r="B76" s="4" t="s">
        <v>22</v>
      </c>
      <c r="C76" s="4" t="s">
        <v>23</v>
      </c>
      <c r="D76" s="4" t="s">
        <v>24</v>
      </c>
      <c r="E76" s="4" t="s">
        <v>24</v>
      </c>
      <c r="F76" s="4" t="s">
        <v>25</v>
      </c>
      <c r="G76" s="4" t="s">
        <v>25</v>
      </c>
      <c r="H76" s="4" t="s">
        <v>25</v>
      </c>
      <c r="I76" s="5">
        <v>44743</v>
      </c>
      <c r="J76" s="6">
        <v>0</v>
      </c>
      <c r="K76" s="6">
        <v>0</v>
      </c>
      <c r="L76" s="6">
        <v>34.405000000000001</v>
      </c>
      <c r="M76" s="6">
        <v>34.405000000000001</v>
      </c>
      <c r="N76" s="6">
        <v>34.405000000000001</v>
      </c>
      <c r="O76" s="6">
        <v>34.405000000000001</v>
      </c>
      <c r="P76" s="6">
        <v>267</v>
      </c>
      <c r="Q76" s="4" t="s">
        <v>26</v>
      </c>
      <c r="R76" s="4">
        <v>0</v>
      </c>
      <c r="S76" s="6">
        <v>0</v>
      </c>
      <c r="T76" s="6">
        <v>20</v>
      </c>
      <c r="U76" s="6">
        <v>37</v>
      </c>
      <c r="V76" s="6">
        <f>IF(ISERROR(VLOOKUP($S$76,'TAR FIN'!$A$1:$O$85,15,0)),0,VLOOKUP($S$76,'TAR FIN'!$A$1:$O$85,15,0))</f>
        <v>0</v>
      </c>
      <c r="W76" s="6">
        <f>IF(ISERROR(VLOOKUP($T$76,'TAR FIN'!$A$1:$O$85,15,0)),0,VLOOKUP($T$76,'TAR FIN'!$A$1:$O$85,15,0))</f>
        <v>303.64999999999998</v>
      </c>
      <c r="X76" s="6">
        <f>IF(ISERROR(VLOOKUP($U$76,'TAR FIN'!$A$1:$O$85,15,0)),0,VLOOKUP($U$76,'TAR FIN'!$A$1:$O$85,15,0))</f>
        <v>310.5</v>
      </c>
      <c r="Y76" s="6"/>
      <c r="Z76" s="6">
        <f ca="1">('TUSD BE'!$AM$20+'TUSD BF'!$AM$20+'TUSD CVA'!$AM$20)*1</f>
        <v>311.36800256146012</v>
      </c>
      <c r="AA76" s="6">
        <f>('TE BE'!$AB$10+'TE BF'!$AB$10+'TE CVA'!$AB$10)*1</f>
        <v>221.79210547670309</v>
      </c>
      <c r="AB76" s="6">
        <f>$K$76*$V$76</f>
        <v>0</v>
      </c>
      <c r="AC76" s="6">
        <f>$M$76*$W$76</f>
        <v>10447.078249999999</v>
      </c>
      <c r="AD76" s="6">
        <f>$O$76*$X$76</f>
        <v>10682.752500000001</v>
      </c>
      <c r="AE76" s="6">
        <f>$K$76*$Y$76</f>
        <v>0</v>
      </c>
      <c r="AF76" s="6">
        <f ca="1">$M$76*$Z$76</f>
        <v>10712.616128127036</v>
      </c>
      <c r="AG76" s="6">
        <f>$O$76*$AA$76</f>
        <v>7630.7573889259702</v>
      </c>
    </row>
    <row r="77" spans="1:33" ht="11.25" customHeight="1" x14ac:dyDescent="0.3">
      <c r="A77" s="4" t="s">
        <v>41</v>
      </c>
      <c r="B77" s="4" t="s">
        <v>22</v>
      </c>
      <c r="C77" s="4" t="s">
        <v>23</v>
      </c>
      <c r="D77" s="4" t="s">
        <v>24</v>
      </c>
      <c r="E77" s="4" t="s">
        <v>24</v>
      </c>
      <c r="F77" s="4" t="s">
        <v>25</v>
      </c>
      <c r="G77" s="4" t="s">
        <v>25</v>
      </c>
      <c r="H77" s="4" t="s">
        <v>25</v>
      </c>
      <c r="I77" s="5">
        <v>44743</v>
      </c>
      <c r="J77" s="6">
        <v>0</v>
      </c>
      <c r="K77" s="6">
        <v>0</v>
      </c>
      <c r="L77" s="6">
        <v>0.1</v>
      </c>
      <c r="M77" s="6">
        <v>0.1</v>
      </c>
      <c r="N77" s="6">
        <v>0.1</v>
      </c>
      <c r="O77" s="6">
        <v>0.1</v>
      </c>
      <c r="P77" s="6">
        <v>1</v>
      </c>
      <c r="Q77" s="4" t="s">
        <v>26</v>
      </c>
      <c r="R77" s="4">
        <v>0</v>
      </c>
      <c r="S77" s="6">
        <v>0</v>
      </c>
      <c r="T77" s="6">
        <v>20</v>
      </c>
      <c r="U77" s="6">
        <v>37</v>
      </c>
      <c r="V77" s="6">
        <f>IF(ISERROR(VLOOKUP($S$77,'TAR FIN'!$A$1:$O$85,15,0)),0,VLOOKUP($S$77,'TAR FIN'!$A$1:$O$85,15,0))</f>
        <v>0</v>
      </c>
      <c r="W77" s="6">
        <f>IF(ISERROR(VLOOKUP($T$77,'TAR FIN'!$A$1:$O$85,15,0)),0,VLOOKUP($T$77,'TAR FIN'!$A$1:$O$85,15,0))</f>
        <v>303.64999999999998</v>
      </c>
      <c r="X77" s="6">
        <f>IF(ISERROR(VLOOKUP($U$77,'TAR FIN'!$A$1:$O$85,15,0)),0,VLOOKUP($U$77,'TAR FIN'!$A$1:$O$85,15,0))</f>
        <v>310.5</v>
      </c>
      <c r="Y77" s="6"/>
      <c r="Z77" s="6">
        <f ca="1">('TUSD BE'!$AM$20+'TUSD BF'!$AM$20+'TUSD CVA'!$AM$20)*1</f>
        <v>311.36800256146012</v>
      </c>
      <c r="AA77" s="6">
        <f>('TE BE'!$AB$10+'TE BF'!$AB$10+'TE CVA'!$AB$10)*1</f>
        <v>221.79210547670309</v>
      </c>
      <c r="AB77" s="6">
        <f>$K$77*$V$77</f>
        <v>0</v>
      </c>
      <c r="AC77" s="6">
        <f>$M$77*$W$77</f>
        <v>30.364999999999998</v>
      </c>
      <c r="AD77" s="6">
        <f>$O$77*$X$77</f>
        <v>31.05</v>
      </c>
      <c r="AE77" s="6">
        <f>$K$77*$Y$77</f>
        <v>0</v>
      </c>
      <c r="AF77" s="6">
        <f ca="1">$M$77*$Z$77</f>
        <v>31.136800256146014</v>
      </c>
      <c r="AG77" s="6">
        <f>$O$77*$AA$77</f>
        <v>22.179210547670309</v>
      </c>
    </row>
    <row r="78" spans="1:33" ht="11.25" customHeight="1" x14ac:dyDescent="0.3">
      <c r="A78" s="4" t="s">
        <v>21</v>
      </c>
      <c r="B78" s="4" t="s">
        <v>22</v>
      </c>
      <c r="C78" s="4" t="s">
        <v>23</v>
      </c>
      <c r="D78" s="4" t="s">
        <v>24</v>
      </c>
      <c r="E78" s="4" t="s">
        <v>24</v>
      </c>
      <c r="F78" s="4" t="s">
        <v>25</v>
      </c>
      <c r="G78" s="4" t="s">
        <v>25</v>
      </c>
      <c r="H78" s="4" t="s">
        <v>25</v>
      </c>
      <c r="I78" s="5">
        <v>44774</v>
      </c>
      <c r="J78" s="6">
        <v>0</v>
      </c>
      <c r="K78" s="6">
        <v>0</v>
      </c>
      <c r="L78" s="6">
        <v>40.055999999999997</v>
      </c>
      <c r="M78" s="6">
        <v>40.055999999999997</v>
      </c>
      <c r="N78" s="6">
        <v>40.055999999999997</v>
      </c>
      <c r="O78" s="6">
        <v>40.055999999999997</v>
      </c>
      <c r="P78" s="6">
        <v>272</v>
      </c>
      <c r="Q78" s="4" t="s">
        <v>26</v>
      </c>
      <c r="R78" s="4">
        <v>0</v>
      </c>
      <c r="S78" s="6">
        <v>0</v>
      </c>
      <c r="T78" s="6">
        <v>20</v>
      </c>
      <c r="U78" s="6">
        <v>37</v>
      </c>
      <c r="V78" s="6">
        <f>IF(ISERROR(VLOOKUP($S$78,'TAR FIN'!$A$1:$O$85,15,0)),0,VLOOKUP($S$78,'TAR FIN'!$A$1:$O$85,15,0))</f>
        <v>0</v>
      </c>
      <c r="W78" s="6">
        <f>IF(ISERROR(VLOOKUP($T$78,'TAR FIN'!$A$1:$O$85,15,0)),0,VLOOKUP($T$78,'TAR FIN'!$A$1:$O$85,15,0))</f>
        <v>303.64999999999998</v>
      </c>
      <c r="X78" s="6">
        <f>IF(ISERROR(VLOOKUP($U$78,'TAR FIN'!$A$1:$O$85,15,0)),0,VLOOKUP($U$78,'TAR FIN'!$A$1:$O$85,15,0))</f>
        <v>310.5</v>
      </c>
      <c r="Y78" s="6"/>
      <c r="Z78" s="6">
        <f ca="1">('TUSD BE'!$AM$20+'TUSD BF'!$AM$20+'TUSD CVA'!$AM$20)*1</f>
        <v>311.36800256146012</v>
      </c>
      <c r="AA78" s="6">
        <f>('TE BE'!$AB$10+'TE BF'!$AB$10+'TE CVA'!$AB$10)*1</f>
        <v>221.79210547670309</v>
      </c>
      <c r="AB78" s="6">
        <f>$K$78*$V$78</f>
        <v>0</v>
      </c>
      <c r="AC78" s="6">
        <f>$M$78*$W$78</f>
        <v>12163.004399999998</v>
      </c>
      <c r="AD78" s="6">
        <f>$O$78*$X$78</f>
        <v>12437.387999999999</v>
      </c>
      <c r="AE78" s="6">
        <f>$K$78*$Y$78</f>
        <v>0</v>
      </c>
      <c r="AF78" s="6">
        <f ca="1">$M$78*$Z$78</f>
        <v>12472.156710601846</v>
      </c>
      <c r="AG78" s="6">
        <f>$O$78*$AA$78</f>
        <v>8884.104576974818</v>
      </c>
    </row>
    <row r="79" spans="1:33" ht="11.25" customHeight="1" x14ac:dyDescent="0.3">
      <c r="A79" s="4" t="s">
        <v>41</v>
      </c>
      <c r="B79" s="4" t="s">
        <v>22</v>
      </c>
      <c r="C79" s="4" t="s">
        <v>23</v>
      </c>
      <c r="D79" s="4" t="s">
        <v>24</v>
      </c>
      <c r="E79" s="4" t="s">
        <v>24</v>
      </c>
      <c r="F79" s="4" t="s">
        <v>25</v>
      </c>
      <c r="G79" s="4" t="s">
        <v>25</v>
      </c>
      <c r="H79" s="4" t="s">
        <v>25</v>
      </c>
      <c r="I79" s="5">
        <v>44774</v>
      </c>
      <c r="J79" s="6">
        <v>0</v>
      </c>
      <c r="K79" s="6">
        <v>0</v>
      </c>
      <c r="L79" s="6">
        <v>0.1</v>
      </c>
      <c r="M79" s="6">
        <v>0.1</v>
      </c>
      <c r="N79" s="6">
        <v>0.1</v>
      </c>
      <c r="O79" s="6">
        <v>0.1</v>
      </c>
      <c r="P79" s="6">
        <v>1</v>
      </c>
      <c r="Q79" s="4" t="s">
        <v>26</v>
      </c>
      <c r="R79" s="4">
        <v>0</v>
      </c>
      <c r="S79" s="6">
        <v>0</v>
      </c>
      <c r="T79" s="6">
        <v>20</v>
      </c>
      <c r="U79" s="6">
        <v>37</v>
      </c>
      <c r="V79" s="6">
        <f>IF(ISERROR(VLOOKUP($S$79,'TAR FIN'!$A$1:$O$85,15,0)),0,VLOOKUP($S$79,'TAR FIN'!$A$1:$O$85,15,0))</f>
        <v>0</v>
      </c>
      <c r="W79" s="6">
        <f>IF(ISERROR(VLOOKUP($T$79,'TAR FIN'!$A$1:$O$85,15,0)),0,VLOOKUP($T$79,'TAR FIN'!$A$1:$O$85,15,0))</f>
        <v>303.64999999999998</v>
      </c>
      <c r="X79" s="6">
        <f>IF(ISERROR(VLOOKUP($U$79,'TAR FIN'!$A$1:$O$85,15,0)),0,VLOOKUP($U$79,'TAR FIN'!$A$1:$O$85,15,0))</f>
        <v>310.5</v>
      </c>
      <c r="Y79" s="6"/>
      <c r="Z79" s="6">
        <f ca="1">('TUSD BE'!$AM$20+'TUSD BF'!$AM$20+'TUSD CVA'!$AM$20)*1</f>
        <v>311.36800256146012</v>
      </c>
      <c r="AA79" s="6">
        <f>('TE BE'!$AB$10+'TE BF'!$AB$10+'TE CVA'!$AB$10)*1</f>
        <v>221.79210547670309</v>
      </c>
      <c r="AB79" s="6">
        <f>$K$79*$V$79</f>
        <v>0</v>
      </c>
      <c r="AC79" s="6">
        <f>$M$79*$W$79</f>
        <v>30.364999999999998</v>
      </c>
      <c r="AD79" s="6">
        <f>$O$79*$X$79</f>
        <v>31.05</v>
      </c>
      <c r="AE79" s="6">
        <f>$K$79*$Y$79</f>
        <v>0</v>
      </c>
      <c r="AF79" s="6">
        <f ca="1">$M$79*$Z$79</f>
        <v>31.136800256146014</v>
      </c>
      <c r="AG79" s="6">
        <f>$O$79*$AA$79</f>
        <v>22.179210547670309</v>
      </c>
    </row>
    <row r="80" spans="1:33" ht="11.25" customHeight="1" x14ac:dyDescent="0.3">
      <c r="A80" s="4" t="s">
        <v>21</v>
      </c>
      <c r="B80" s="4" t="s">
        <v>22</v>
      </c>
      <c r="C80" s="4" t="s">
        <v>23</v>
      </c>
      <c r="D80" s="4" t="s">
        <v>24</v>
      </c>
      <c r="E80" s="4" t="s">
        <v>27</v>
      </c>
      <c r="F80" s="4" t="s">
        <v>25</v>
      </c>
      <c r="G80" s="4" t="s">
        <v>25</v>
      </c>
      <c r="H80" s="4" t="s">
        <v>25</v>
      </c>
      <c r="I80" s="5">
        <v>44440</v>
      </c>
      <c r="J80" s="6">
        <v>0</v>
      </c>
      <c r="K80" s="6">
        <v>0</v>
      </c>
      <c r="L80" s="6">
        <v>0.06</v>
      </c>
      <c r="M80" s="6">
        <v>0.06</v>
      </c>
      <c r="N80" s="6">
        <v>0.06</v>
      </c>
      <c r="O80" s="6">
        <v>0.06</v>
      </c>
      <c r="P80" s="6">
        <v>0</v>
      </c>
      <c r="Q80" s="4" t="s">
        <v>26</v>
      </c>
      <c r="R80" s="4">
        <v>0</v>
      </c>
      <c r="S80" s="6">
        <v>0</v>
      </c>
      <c r="T80" s="6">
        <v>16</v>
      </c>
      <c r="U80" s="6">
        <v>45</v>
      </c>
      <c r="V80" s="6">
        <f>IF(ISERROR(VLOOKUP($S$80,'TAR FIN'!$A$1:$O$85,15,0)),0,VLOOKUP($S$80,'TAR FIN'!$A$1:$O$85,15,0))</f>
        <v>0</v>
      </c>
      <c r="W80" s="6">
        <f>IF(ISERROR(VLOOKUP($T$80,'TAR FIN'!$A$1:$O$85,15,0)),0,VLOOKUP($T$80,'TAR FIN'!$A$1:$O$85,15,0))</f>
        <v>77.760000000000005</v>
      </c>
      <c r="X80" s="6">
        <f>IF(ISERROR(VLOOKUP($U$80,'TAR FIN'!$A$1:$O$85,15,0)),0,VLOOKUP($U$80,'TAR FIN'!$A$1:$O$85,15,0))</f>
        <v>108.67</v>
      </c>
      <c r="Y80" s="6"/>
      <c r="Z80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0" s="6">
        <f>('TE BE'!$AB$11+'TE BF'!$AB$11+'TE CVA'!$AB$11)*(1-CUSTOS!$M$34)</f>
        <v>77.627236916846073</v>
      </c>
      <c r="AB80" s="6">
        <f>$K$80*$V$80</f>
        <v>0</v>
      </c>
      <c r="AC80" s="6">
        <f>$M$80*$W$80</f>
        <v>4.6656000000000004</v>
      </c>
      <c r="AD80" s="6">
        <f>$O$80*$X$80</f>
        <v>6.5202</v>
      </c>
      <c r="AE80" s="6">
        <f>$K$80*$Y$80</f>
        <v>0</v>
      </c>
      <c r="AF80" s="6">
        <f ca="1">$M$80*$Z$80</f>
        <v>4.4955270350236765</v>
      </c>
      <c r="AG80" s="6">
        <f>$O$80*$AA$80</f>
        <v>4.6576342150107646</v>
      </c>
    </row>
    <row r="81" spans="1:33" ht="11.25" customHeight="1" x14ac:dyDescent="0.3">
      <c r="A81" s="4" t="s">
        <v>21</v>
      </c>
      <c r="B81" s="4" t="s">
        <v>22</v>
      </c>
      <c r="C81" s="4" t="s">
        <v>23</v>
      </c>
      <c r="D81" s="4" t="s">
        <v>24</v>
      </c>
      <c r="E81" s="4" t="s">
        <v>27</v>
      </c>
      <c r="F81" s="4" t="s">
        <v>25</v>
      </c>
      <c r="G81" s="4" t="s">
        <v>25</v>
      </c>
      <c r="H81" s="4" t="s">
        <v>25</v>
      </c>
      <c r="I81" s="5">
        <v>44470</v>
      </c>
      <c r="J81" s="6">
        <v>0</v>
      </c>
      <c r="K81" s="6">
        <v>0</v>
      </c>
      <c r="L81" s="6">
        <v>0.06</v>
      </c>
      <c r="M81" s="6">
        <v>0.06</v>
      </c>
      <c r="N81" s="6">
        <v>0.06</v>
      </c>
      <c r="O81" s="6">
        <v>0.06</v>
      </c>
      <c r="P81" s="6">
        <v>0</v>
      </c>
      <c r="Q81" s="4" t="s">
        <v>26</v>
      </c>
      <c r="R81" s="4">
        <v>0</v>
      </c>
      <c r="S81" s="6">
        <v>0</v>
      </c>
      <c r="T81" s="6">
        <v>16</v>
      </c>
      <c r="U81" s="6">
        <v>45</v>
      </c>
      <c r="V81" s="6">
        <f>IF(ISERROR(VLOOKUP($S$81,'TAR FIN'!$A$1:$O$85,15,0)),0,VLOOKUP($S$81,'TAR FIN'!$A$1:$O$85,15,0))</f>
        <v>0</v>
      </c>
      <c r="W81" s="6">
        <f>IF(ISERROR(VLOOKUP($T$81,'TAR FIN'!$A$1:$O$85,15,0)),0,VLOOKUP($T$81,'TAR FIN'!$A$1:$O$85,15,0))</f>
        <v>77.760000000000005</v>
      </c>
      <c r="X81" s="6">
        <f>IF(ISERROR(VLOOKUP($U$81,'TAR FIN'!$A$1:$O$85,15,0)),0,VLOOKUP($U$81,'TAR FIN'!$A$1:$O$85,15,0))</f>
        <v>108.67</v>
      </c>
      <c r="Y81" s="6"/>
      <c r="Z81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1" s="6">
        <f>('TE BE'!$AB$11+'TE BF'!$AB$11+'TE CVA'!$AB$11)*(1-CUSTOS!$M$34)</f>
        <v>77.627236916846073</v>
      </c>
      <c r="AB81" s="6">
        <f>$K$81*$V$81</f>
        <v>0</v>
      </c>
      <c r="AC81" s="6">
        <f>$M$81*$W$81</f>
        <v>4.6656000000000004</v>
      </c>
      <c r="AD81" s="6">
        <f>$O$81*$X$81</f>
        <v>6.5202</v>
      </c>
      <c r="AE81" s="6">
        <f>$K$81*$Y$81</f>
        <v>0</v>
      </c>
      <c r="AF81" s="6">
        <f ca="1">$M$81*$Z$81</f>
        <v>4.4955270350236765</v>
      </c>
      <c r="AG81" s="6">
        <f>$O$81*$AA$81</f>
        <v>4.6576342150107646</v>
      </c>
    </row>
    <row r="82" spans="1:33" ht="11.25" customHeight="1" x14ac:dyDescent="0.3">
      <c r="A82" s="4" t="s">
        <v>21</v>
      </c>
      <c r="B82" s="4" t="s">
        <v>22</v>
      </c>
      <c r="C82" s="4" t="s">
        <v>23</v>
      </c>
      <c r="D82" s="4" t="s">
        <v>24</v>
      </c>
      <c r="E82" s="4" t="s">
        <v>27</v>
      </c>
      <c r="F82" s="4" t="s">
        <v>25</v>
      </c>
      <c r="G82" s="4" t="s">
        <v>25</v>
      </c>
      <c r="H82" s="4" t="s">
        <v>25</v>
      </c>
      <c r="I82" s="5">
        <v>44501</v>
      </c>
      <c r="J82" s="6">
        <v>0</v>
      </c>
      <c r="K82" s="6">
        <v>0</v>
      </c>
      <c r="L82" s="6">
        <v>0.09</v>
      </c>
      <c r="M82" s="6">
        <v>0.09</v>
      </c>
      <c r="N82" s="6">
        <v>0.09</v>
      </c>
      <c r="O82" s="6">
        <v>0.09</v>
      </c>
      <c r="P82" s="6">
        <v>0</v>
      </c>
      <c r="Q82" s="4" t="s">
        <v>26</v>
      </c>
      <c r="R82" s="4">
        <v>0</v>
      </c>
      <c r="S82" s="6">
        <v>0</v>
      </c>
      <c r="T82" s="6">
        <v>16</v>
      </c>
      <c r="U82" s="6">
        <v>45</v>
      </c>
      <c r="V82" s="6">
        <f>IF(ISERROR(VLOOKUP($S$82,'TAR FIN'!$A$1:$O$85,15,0)),0,VLOOKUP($S$82,'TAR FIN'!$A$1:$O$85,15,0))</f>
        <v>0</v>
      </c>
      <c r="W82" s="6">
        <f>IF(ISERROR(VLOOKUP($T$82,'TAR FIN'!$A$1:$O$85,15,0)),0,VLOOKUP($T$82,'TAR FIN'!$A$1:$O$85,15,0))</f>
        <v>77.760000000000005</v>
      </c>
      <c r="X82" s="6">
        <f>IF(ISERROR(VLOOKUP($U$82,'TAR FIN'!$A$1:$O$85,15,0)),0,VLOOKUP($U$82,'TAR FIN'!$A$1:$O$85,15,0))</f>
        <v>108.67</v>
      </c>
      <c r="Y82" s="6"/>
      <c r="Z82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2" s="6">
        <f>('TE BE'!$AB$11+'TE BF'!$AB$11+'TE CVA'!$AB$11)*(1-CUSTOS!$M$34)</f>
        <v>77.627236916846073</v>
      </c>
      <c r="AB82" s="6">
        <f>$K$82*$V$82</f>
        <v>0</v>
      </c>
      <c r="AC82" s="6">
        <f>$M$82*$W$82</f>
        <v>6.9984000000000002</v>
      </c>
      <c r="AD82" s="6">
        <f>$O$82*$X$82</f>
        <v>9.7803000000000004</v>
      </c>
      <c r="AE82" s="6">
        <f>$K$82*$Y$82</f>
        <v>0</v>
      </c>
      <c r="AF82" s="6">
        <f ca="1">$M$82*$Z$82</f>
        <v>6.7432905525355142</v>
      </c>
      <c r="AG82" s="6">
        <f>$O$82*$AA$82</f>
        <v>6.986451322516146</v>
      </c>
    </row>
    <row r="83" spans="1:33" ht="11.25" customHeight="1" x14ac:dyDescent="0.3">
      <c r="A83" s="4" t="s">
        <v>21</v>
      </c>
      <c r="B83" s="4" t="s">
        <v>22</v>
      </c>
      <c r="C83" s="4" t="s">
        <v>23</v>
      </c>
      <c r="D83" s="4" t="s">
        <v>24</v>
      </c>
      <c r="E83" s="4" t="s">
        <v>27</v>
      </c>
      <c r="F83" s="4" t="s">
        <v>25</v>
      </c>
      <c r="G83" s="4" t="s">
        <v>25</v>
      </c>
      <c r="H83" s="4" t="s">
        <v>25</v>
      </c>
      <c r="I83" s="5">
        <v>44531</v>
      </c>
      <c r="J83" s="6">
        <v>0</v>
      </c>
      <c r="K83" s="6">
        <v>0</v>
      </c>
      <c r="L83" s="6">
        <v>0.09</v>
      </c>
      <c r="M83" s="6">
        <v>0.09</v>
      </c>
      <c r="N83" s="6">
        <v>0.09</v>
      </c>
      <c r="O83" s="6">
        <v>0.09</v>
      </c>
      <c r="P83" s="6">
        <v>0</v>
      </c>
      <c r="Q83" s="4" t="s">
        <v>26</v>
      </c>
      <c r="R83" s="4">
        <v>0</v>
      </c>
      <c r="S83" s="6">
        <v>0</v>
      </c>
      <c r="T83" s="6">
        <v>16</v>
      </c>
      <c r="U83" s="6">
        <v>45</v>
      </c>
      <c r="V83" s="6">
        <f>IF(ISERROR(VLOOKUP($S$83,'TAR FIN'!$A$1:$O$85,15,0)),0,VLOOKUP($S$83,'TAR FIN'!$A$1:$O$85,15,0))</f>
        <v>0</v>
      </c>
      <c r="W83" s="6">
        <f>IF(ISERROR(VLOOKUP($T$83,'TAR FIN'!$A$1:$O$85,15,0)),0,VLOOKUP($T$83,'TAR FIN'!$A$1:$O$85,15,0))</f>
        <v>77.760000000000005</v>
      </c>
      <c r="X83" s="6">
        <f>IF(ISERROR(VLOOKUP($U$83,'TAR FIN'!$A$1:$O$85,15,0)),0,VLOOKUP($U$83,'TAR FIN'!$A$1:$O$85,15,0))</f>
        <v>108.67</v>
      </c>
      <c r="Y83" s="6"/>
      <c r="Z83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3" s="6">
        <f>('TE BE'!$AB$11+'TE BF'!$AB$11+'TE CVA'!$AB$11)*(1-CUSTOS!$M$34)</f>
        <v>77.627236916846073</v>
      </c>
      <c r="AB83" s="6">
        <f>$K$83*$V$83</f>
        <v>0</v>
      </c>
      <c r="AC83" s="6">
        <f>$M$83*$W$83</f>
        <v>6.9984000000000002</v>
      </c>
      <c r="AD83" s="6">
        <f>$O$83*$X$83</f>
        <v>9.7803000000000004</v>
      </c>
      <c r="AE83" s="6">
        <f>$K$83*$Y$83</f>
        <v>0</v>
      </c>
      <c r="AF83" s="6">
        <f ca="1">$M$83*$Z$83</f>
        <v>6.7432905525355142</v>
      </c>
      <c r="AG83" s="6">
        <f>$O$83*$AA$83</f>
        <v>6.986451322516146</v>
      </c>
    </row>
    <row r="84" spans="1:33" ht="11.25" customHeight="1" x14ac:dyDescent="0.3">
      <c r="A84" s="4" t="s">
        <v>21</v>
      </c>
      <c r="B84" s="4" t="s">
        <v>22</v>
      </c>
      <c r="C84" s="4" t="s">
        <v>23</v>
      </c>
      <c r="D84" s="4" t="s">
        <v>24</v>
      </c>
      <c r="E84" s="4" t="s">
        <v>27</v>
      </c>
      <c r="F84" s="4" t="s">
        <v>25</v>
      </c>
      <c r="G84" s="4" t="s">
        <v>25</v>
      </c>
      <c r="H84" s="4" t="s">
        <v>25</v>
      </c>
      <c r="I84" s="5">
        <v>44562</v>
      </c>
      <c r="J84" s="6">
        <v>0</v>
      </c>
      <c r="K84" s="6">
        <v>0</v>
      </c>
      <c r="L84" s="6">
        <v>0.09</v>
      </c>
      <c r="M84" s="6">
        <v>0.09</v>
      </c>
      <c r="N84" s="6">
        <v>0.09</v>
      </c>
      <c r="O84" s="6">
        <v>0.09</v>
      </c>
      <c r="P84" s="6">
        <v>0</v>
      </c>
      <c r="Q84" s="4" t="s">
        <v>26</v>
      </c>
      <c r="R84" s="4">
        <v>0</v>
      </c>
      <c r="S84" s="6">
        <v>0</v>
      </c>
      <c r="T84" s="6">
        <v>16</v>
      </c>
      <c r="U84" s="6">
        <v>45</v>
      </c>
      <c r="V84" s="6">
        <f>IF(ISERROR(VLOOKUP($S$84,'TAR FIN'!$A$1:$O$85,15,0)),0,VLOOKUP($S$84,'TAR FIN'!$A$1:$O$85,15,0))</f>
        <v>0</v>
      </c>
      <c r="W84" s="6">
        <f>IF(ISERROR(VLOOKUP($T$84,'TAR FIN'!$A$1:$O$85,15,0)),0,VLOOKUP($T$84,'TAR FIN'!$A$1:$O$85,15,0))</f>
        <v>77.760000000000005</v>
      </c>
      <c r="X84" s="6">
        <f>IF(ISERROR(VLOOKUP($U$84,'TAR FIN'!$A$1:$O$85,15,0)),0,VLOOKUP($U$84,'TAR FIN'!$A$1:$O$85,15,0))</f>
        <v>108.67</v>
      </c>
      <c r="Y84" s="6"/>
      <c r="Z84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4" s="6">
        <f>('TE BE'!$AB$11+'TE BF'!$AB$11+'TE CVA'!$AB$11)*(1-CUSTOS!$M$34)</f>
        <v>77.627236916846073</v>
      </c>
      <c r="AB84" s="6">
        <f>$K$84*$V$84</f>
        <v>0</v>
      </c>
      <c r="AC84" s="6">
        <f>$M$84*$W$84</f>
        <v>6.9984000000000002</v>
      </c>
      <c r="AD84" s="6">
        <f>$O$84*$X$84</f>
        <v>9.7803000000000004</v>
      </c>
      <c r="AE84" s="6">
        <f>$K$84*$Y$84</f>
        <v>0</v>
      </c>
      <c r="AF84" s="6">
        <f ca="1">$M$84*$Z$84</f>
        <v>6.7432905525355142</v>
      </c>
      <c r="AG84" s="6">
        <f>$O$84*$AA$84</f>
        <v>6.986451322516146</v>
      </c>
    </row>
    <row r="85" spans="1:33" ht="11.25" customHeight="1" x14ac:dyDescent="0.3">
      <c r="A85" s="4" t="s">
        <v>21</v>
      </c>
      <c r="B85" s="4" t="s">
        <v>22</v>
      </c>
      <c r="C85" s="4" t="s">
        <v>23</v>
      </c>
      <c r="D85" s="4" t="s">
        <v>24</v>
      </c>
      <c r="E85" s="4" t="s">
        <v>27</v>
      </c>
      <c r="F85" s="4" t="s">
        <v>25</v>
      </c>
      <c r="G85" s="4" t="s">
        <v>25</v>
      </c>
      <c r="H85" s="4" t="s">
        <v>25</v>
      </c>
      <c r="I85" s="5">
        <v>44593</v>
      </c>
      <c r="J85" s="6">
        <v>0</v>
      </c>
      <c r="K85" s="6">
        <v>0</v>
      </c>
      <c r="L85" s="6">
        <v>0.18</v>
      </c>
      <c r="M85" s="6">
        <v>0.18</v>
      </c>
      <c r="N85" s="6">
        <v>0.18</v>
      </c>
      <c r="O85" s="6">
        <v>0.18</v>
      </c>
      <c r="P85" s="6">
        <v>0</v>
      </c>
      <c r="Q85" s="4" t="s">
        <v>26</v>
      </c>
      <c r="R85" s="4">
        <v>0</v>
      </c>
      <c r="S85" s="6">
        <v>0</v>
      </c>
      <c r="T85" s="6">
        <v>16</v>
      </c>
      <c r="U85" s="6">
        <v>45</v>
      </c>
      <c r="V85" s="6">
        <f>IF(ISERROR(VLOOKUP($S$85,'TAR FIN'!$A$1:$O$85,15,0)),0,VLOOKUP($S$85,'TAR FIN'!$A$1:$O$85,15,0))</f>
        <v>0</v>
      </c>
      <c r="W85" s="6">
        <f>IF(ISERROR(VLOOKUP($T$85,'TAR FIN'!$A$1:$O$85,15,0)),0,VLOOKUP($T$85,'TAR FIN'!$A$1:$O$85,15,0))</f>
        <v>77.760000000000005</v>
      </c>
      <c r="X85" s="6">
        <f>IF(ISERROR(VLOOKUP($U$85,'TAR FIN'!$A$1:$O$85,15,0)),0,VLOOKUP($U$85,'TAR FIN'!$A$1:$O$85,15,0))</f>
        <v>108.67</v>
      </c>
      <c r="Y85" s="6"/>
      <c r="Z85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5" s="6">
        <f>('TE BE'!$AB$11+'TE BF'!$AB$11+'TE CVA'!$AB$11)*(1-CUSTOS!$M$34)</f>
        <v>77.627236916846073</v>
      </c>
      <c r="AB85" s="6">
        <f>$K$85*$V$85</f>
        <v>0</v>
      </c>
      <c r="AC85" s="6">
        <f>$M$85*$W$85</f>
        <v>13.9968</v>
      </c>
      <c r="AD85" s="6">
        <f>$O$85*$X$85</f>
        <v>19.560600000000001</v>
      </c>
      <c r="AE85" s="6">
        <f>$K$85*$Y$85</f>
        <v>0</v>
      </c>
      <c r="AF85" s="6">
        <f ca="1">$M$85*$Z$85</f>
        <v>13.486581105071028</v>
      </c>
      <c r="AG85" s="6">
        <f>$O$85*$AA$85</f>
        <v>13.972902645032292</v>
      </c>
    </row>
    <row r="86" spans="1:33" ht="11.25" customHeight="1" x14ac:dyDescent="0.3">
      <c r="A86" s="4" t="s">
        <v>21</v>
      </c>
      <c r="B86" s="4" t="s">
        <v>22</v>
      </c>
      <c r="C86" s="4" t="s">
        <v>23</v>
      </c>
      <c r="D86" s="4" t="s">
        <v>24</v>
      </c>
      <c r="E86" s="4" t="s">
        <v>27</v>
      </c>
      <c r="F86" s="4" t="s">
        <v>25</v>
      </c>
      <c r="G86" s="4" t="s">
        <v>25</v>
      </c>
      <c r="H86" s="4" t="s">
        <v>25</v>
      </c>
      <c r="I86" s="5">
        <v>44621</v>
      </c>
      <c r="J86" s="6">
        <v>0</v>
      </c>
      <c r="K86" s="6">
        <v>0</v>
      </c>
      <c r="L86" s="6">
        <v>0.3</v>
      </c>
      <c r="M86" s="6">
        <v>0.3</v>
      </c>
      <c r="N86" s="6">
        <v>0.3</v>
      </c>
      <c r="O86" s="6">
        <v>0.3</v>
      </c>
      <c r="P86" s="6">
        <v>1</v>
      </c>
      <c r="Q86" s="4" t="s">
        <v>26</v>
      </c>
      <c r="R86" s="4">
        <v>0</v>
      </c>
      <c r="S86" s="6">
        <v>0</v>
      </c>
      <c r="T86" s="6">
        <v>16</v>
      </c>
      <c r="U86" s="6">
        <v>45</v>
      </c>
      <c r="V86" s="6">
        <f>IF(ISERROR(VLOOKUP($S$86,'TAR FIN'!$A$1:$O$85,15,0)),0,VLOOKUP($S$86,'TAR FIN'!$A$1:$O$85,15,0))</f>
        <v>0</v>
      </c>
      <c r="W86" s="6">
        <f>IF(ISERROR(VLOOKUP($T$86,'TAR FIN'!$A$1:$O$85,15,0)),0,VLOOKUP($T$86,'TAR FIN'!$A$1:$O$85,15,0))</f>
        <v>77.760000000000005</v>
      </c>
      <c r="X86" s="6">
        <f>IF(ISERROR(VLOOKUP($U$86,'TAR FIN'!$A$1:$O$85,15,0)),0,VLOOKUP($U$86,'TAR FIN'!$A$1:$O$85,15,0))</f>
        <v>108.67</v>
      </c>
      <c r="Y86" s="6"/>
      <c r="Z86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6" s="6">
        <f>('TE BE'!$AB$11+'TE BF'!$AB$11+'TE CVA'!$AB$11)*(1-CUSTOS!$M$34)</f>
        <v>77.627236916846073</v>
      </c>
      <c r="AB86" s="6">
        <f>$K$86*$V$86</f>
        <v>0</v>
      </c>
      <c r="AC86" s="6">
        <f>$M$86*$W$86</f>
        <v>23.327999999999999</v>
      </c>
      <c r="AD86" s="6">
        <f>$O$86*$X$86</f>
        <v>32.600999999999999</v>
      </c>
      <c r="AE86" s="6">
        <f>$K$86*$Y$86</f>
        <v>0</v>
      </c>
      <c r="AF86" s="6">
        <f ca="1">$M$86*$Z$86</f>
        <v>22.47763517511838</v>
      </c>
      <c r="AG86" s="6">
        <f>$O$86*$AA$86</f>
        <v>23.288171075053821</v>
      </c>
    </row>
    <row r="87" spans="1:33" ht="11.25" customHeight="1" x14ac:dyDescent="0.3">
      <c r="A87" s="4" t="s">
        <v>21</v>
      </c>
      <c r="B87" s="4" t="s">
        <v>22</v>
      </c>
      <c r="C87" s="4" t="s">
        <v>23</v>
      </c>
      <c r="D87" s="4" t="s">
        <v>24</v>
      </c>
      <c r="E87" s="4" t="s">
        <v>27</v>
      </c>
      <c r="F87" s="4" t="s">
        <v>25</v>
      </c>
      <c r="G87" s="4" t="s">
        <v>25</v>
      </c>
      <c r="H87" s="4" t="s">
        <v>25</v>
      </c>
      <c r="I87" s="5">
        <v>44652</v>
      </c>
      <c r="J87" s="6">
        <v>0</v>
      </c>
      <c r="K87" s="6">
        <v>0</v>
      </c>
      <c r="L87" s="6">
        <v>0.3</v>
      </c>
      <c r="M87" s="6">
        <v>0.3</v>
      </c>
      <c r="N87" s="6">
        <v>0.3</v>
      </c>
      <c r="O87" s="6">
        <v>0.3</v>
      </c>
      <c r="P87" s="6">
        <v>2</v>
      </c>
      <c r="Q87" s="4" t="s">
        <v>26</v>
      </c>
      <c r="R87" s="4">
        <v>0</v>
      </c>
      <c r="S87" s="6">
        <v>0</v>
      </c>
      <c r="T87" s="6">
        <v>16</v>
      </c>
      <c r="U87" s="6">
        <v>45</v>
      </c>
      <c r="V87" s="6">
        <f>IF(ISERROR(VLOOKUP($S$87,'TAR FIN'!$A$1:$O$85,15,0)),0,VLOOKUP($S$87,'TAR FIN'!$A$1:$O$85,15,0))</f>
        <v>0</v>
      </c>
      <c r="W87" s="6">
        <f>IF(ISERROR(VLOOKUP($T$87,'TAR FIN'!$A$1:$O$85,15,0)),0,VLOOKUP($T$87,'TAR FIN'!$A$1:$O$85,15,0))</f>
        <v>77.760000000000005</v>
      </c>
      <c r="X87" s="6">
        <f>IF(ISERROR(VLOOKUP($U$87,'TAR FIN'!$A$1:$O$85,15,0)),0,VLOOKUP($U$87,'TAR FIN'!$A$1:$O$85,15,0))</f>
        <v>108.67</v>
      </c>
      <c r="Y87" s="6"/>
      <c r="Z87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7" s="6">
        <f>('TE BE'!$AB$11+'TE BF'!$AB$11+'TE CVA'!$AB$11)*(1-CUSTOS!$M$34)</f>
        <v>77.627236916846073</v>
      </c>
      <c r="AB87" s="6">
        <f>$K$87*$V$87</f>
        <v>0</v>
      </c>
      <c r="AC87" s="6">
        <f>$M$87*$W$87</f>
        <v>23.327999999999999</v>
      </c>
      <c r="AD87" s="6">
        <f>$O$87*$X$87</f>
        <v>32.600999999999999</v>
      </c>
      <c r="AE87" s="6">
        <f>$K$87*$Y$87</f>
        <v>0</v>
      </c>
      <c r="AF87" s="6">
        <f ca="1">$M$87*$Z$87</f>
        <v>22.47763517511838</v>
      </c>
      <c r="AG87" s="6">
        <f>$O$87*$AA$87</f>
        <v>23.288171075053821</v>
      </c>
    </row>
    <row r="88" spans="1:33" ht="11.25" customHeight="1" x14ac:dyDescent="0.3">
      <c r="A88" s="4" t="s">
        <v>21</v>
      </c>
      <c r="B88" s="4" t="s">
        <v>22</v>
      </c>
      <c r="C88" s="4" t="s">
        <v>23</v>
      </c>
      <c r="D88" s="4" t="s">
        <v>24</v>
      </c>
      <c r="E88" s="4" t="s">
        <v>27</v>
      </c>
      <c r="F88" s="4" t="s">
        <v>25</v>
      </c>
      <c r="G88" s="4" t="s">
        <v>25</v>
      </c>
      <c r="H88" s="4" t="s">
        <v>25</v>
      </c>
      <c r="I88" s="5">
        <v>44682</v>
      </c>
      <c r="J88" s="6">
        <v>0</v>
      </c>
      <c r="K88" s="6">
        <v>0</v>
      </c>
      <c r="L88" s="6">
        <v>0.3</v>
      </c>
      <c r="M88" s="6">
        <v>0.3</v>
      </c>
      <c r="N88" s="6">
        <v>0.3</v>
      </c>
      <c r="O88" s="6">
        <v>0.3</v>
      </c>
      <c r="P88" s="6">
        <v>2</v>
      </c>
      <c r="Q88" s="4" t="s">
        <v>26</v>
      </c>
      <c r="R88" s="4">
        <v>0</v>
      </c>
      <c r="S88" s="6">
        <v>0</v>
      </c>
      <c r="T88" s="6">
        <v>16</v>
      </c>
      <c r="U88" s="6">
        <v>45</v>
      </c>
      <c r="V88" s="6">
        <f>IF(ISERROR(VLOOKUP($S$88,'TAR FIN'!$A$1:$O$85,15,0)),0,VLOOKUP($S$88,'TAR FIN'!$A$1:$O$85,15,0))</f>
        <v>0</v>
      </c>
      <c r="W88" s="6">
        <f>IF(ISERROR(VLOOKUP($T$88,'TAR FIN'!$A$1:$O$85,15,0)),0,VLOOKUP($T$88,'TAR FIN'!$A$1:$O$85,15,0))</f>
        <v>77.760000000000005</v>
      </c>
      <c r="X88" s="6">
        <f>IF(ISERROR(VLOOKUP($U$88,'TAR FIN'!$A$1:$O$85,15,0)),0,VLOOKUP($U$88,'TAR FIN'!$A$1:$O$85,15,0))</f>
        <v>108.67</v>
      </c>
      <c r="Y88" s="6"/>
      <c r="Z88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8" s="6">
        <f>('TE BE'!$AB$11+'TE BF'!$AB$11+'TE CVA'!$AB$11)*(1-CUSTOS!$M$34)</f>
        <v>77.627236916846073</v>
      </c>
      <c r="AB88" s="6">
        <f>$K$88*$V$88</f>
        <v>0</v>
      </c>
      <c r="AC88" s="6">
        <f>$M$88*$W$88</f>
        <v>23.327999999999999</v>
      </c>
      <c r="AD88" s="6">
        <f>$O$88*$X$88</f>
        <v>32.600999999999999</v>
      </c>
      <c r="AE88" s="6">
        <f>$K$88*$Y$88</f>
        <v>0</v>
      </c>
      <c r="AF88" s="6">
        <f ca="1">$M$88*$Z$88</f>
        <v>22.47763517511838</v>
      </c>
      <c r="AG88" s="6">
        <f>$O$88*$AA$88</f>
        <v>23.288171075053821</v>
      </c>
    </row>
    <row r="89" spans="1:33" ht="11.25" customHeight="1" x14ac:dyDescent="0.3">
      <c r="A89" s="4" t="s">
        <v>21</v>
      </c>
      <c r="B89" s="4" t="s">
        <v>22</v>
      </c>
      <c r="C89" s="4" t="s">
        <v>23</v>
      </c>
      <c r="D89" s="4" t="s">
        <v>24</v>
      </c>
      <c r="E89" s="4" t="s">
        <v>27</v>
      </c>
      <c r="F89" s="4" t="s">
        <v>25</v>
      </c>
      <c r="G89" s="4" t="s">
        <v>25</v>
      </c>
      <c r="H89" s="4" t="s">
        <v>25</v>
      </c>
      <c r="I89" s="5">
        <v>44713</v>
      </c>
      <c r="J89" s="6">
        <v>0</v>
      </c>
      <c r="K89" s="6">
        <v>0</v>
      </c>
      <c r="L89" s="6">
        <v>0.3</v>
      </c>
      <c r="M89" s="6">
        <v>0.3</v>
      </c>
      <c r="N89" s="6">
        <v>0.3</v>
      </c>
      <c r="O89" s="6">
        <v>0.3</v>
      </c>
      <c r="P89" s="6">
        <v>2</v>
      </c>
      <c r="Q89" s="4" t="s">
        <v>26</v>
      </c>
      <c r="R89" s="4">
        <v>0</v>
      </c>
      <c r="S89" s="6">
        <v>0</v>
      </c>
      <c r="T89" s="6">
        <v>16</v>
      </c>
      <c r="U89" s="6">
        <v>45</v>
      </c>
      <c r="V89" s="6">
        <f>IF(ISERROR(VLOOKUP($S$89,'TAR FIN'!$A$1:$O$85,15,0)),0,VLOOKUP($S$89,'TAR FIN'!$A$1:$O$85,15,0))</f>
        <v>0</v>
      </c>
      <c r="W89" s="6">
        <f>IF(ISERROR(VLOOKUP($T$89,'TAR FIN'!$A$1:$O$85,15,0)),0,VLOOKUP($T$89,'TAR FIN'!$A$1:$O$85,15,0))</f>
        <v>77.760000000000005</v>
      </c>
      <c r="X89" s="6">
        <f>IF(ISERROR(VLOOKUP($U$89,'TAR FIN'!$A$1:$O$85,15,0)),0,VLOOKUP($U$89,'TAR FIN'!$A$1:$O$85,15,0))</f>
        <v>108.67</v>
      </c>
      <c r="Y89" s="6"/>
      <c r="Z89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9" s="6">
        <f>('TE BE'!$AB$11+'TE BF'!$AB$11+'TE CVA'!$AB$11)*(1-CUSTOS!$M$34)</f>
        <v>77.627236916846073</v>
      </c>
      <c r="AB89" s="6">
        <f>$K$89*$V$89</f>
        <v>0</v>
      </c>
      <c r="AC89" s="6">
        <f>$M$89*$W$89</f>
        <v>23.327999999999999</v>
      </c>
      <c r="AD89" s="6">
        <f>$O$89*$X$89</f>
        <v>32.600999999999999</v>
      </c>
      <c r="AE89" s="6">
        <f>$K$89*$Y$89</f>
        <v>0</v>
      </c>
      <c r="AF89" s="6">
        <f ca="1">$M$89*$Z$89</f>
        <v>22.47763517511838</v>
      </c>
      <c r="AG89" s="6">
        <f>$O$89*$AA$89</f>
        <v>23.288171075053821</v>
      </c>
    </row>
    <row r="90" spans="1:33" ht="11.25" customHeight="1" x14ac:dyDescent="0.3">
      <c r="A90" s="4" t="s">
        <v>21</v>
      </c>
      <c r="B90" s="4" t="s">
        <v>22</v>
      </c>
      <c r="C90" s="4" t="s">
        <v>23</v>
      </c>
      <c r="D90" s="4" t="s">
        <v>24</v>
      </c>
      <c r="E90" s="4" t="s">
        <v>27</v>
      </c>
      <c r="F90" s="4" t="s">
        <v>25</v>
      </c>
      <c r="G90" s="4" t="s">
        <v>25</v>
      </c>
      <c r="H90" s="4" t="s">
        <v>25</v>
      </c>
      <c r="I90" s="5">
        <v>44743</v>
      </c>
      <c r="J90" s="6">
        <v>0</v>
      </c>
      <c r="K90" s="6">
        <v>0</v>
      </c>
      <c r="L90" s="6">
        <v>0.3</v>
      </c>
      <c r="M90" s="6">
        <v>0.3</v>
      </c>
      <c r="N90" s="6">
        <v>0.3</v>
      </c>
      <c r="O90" s="6">
        <v>0.3</v>
      </c>
      <c r="P90" s="6">
        <v>2</v>
      </c>
      <c r="Q90" s="4" t="s">
        <v>26</v>
      </c>
      <c r="R90" s="4">
        <v>0</v>
      </c>
      <c r="S90" s="6">
        <v>0</v>
      </c>
      <c r="T90" s="6">
        <v>16</v>
      </c>
      <c r="U90" s="6">
        <v>45</v>
      </c>
      <c r="V90" s="6">
        <f>IF(ISERROR(VLOOKUP($S$90,'TAR FIN'!$A$1:$O$85,15,0)),0,VLOOKUP($S$90,'TAR FIN'!$A$1:$O$85,15,0))</f>
        <v>0</v>
      </c>
      <c r="W90" s="6">
        <f>IF(ISERROR(VLOOKUP($T$90,'TAR FIN'!$A$1:$O$85,15,0)),0,VLOOKUP($T$90,'TAR FIN'!$A$1:$O$85,15,0))</f>
        <v>77.760000000000005</v>
      </c>
      <c r="X90" s="6">
        <f>IF(ISERROR(VLOOKUP($U$90,'TAR FIN'!$A$1:$O$85,15,0)),0,VLOOKUP($U$90,'TAR FIN'!$A$1:$O$85,15,0))</f>
        <v>108.67</v>
      </c>
      <c r="Y90" s="6"/>
      <c r="Z90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90" s="6">
        <f>('TE BE'!$AB$11+'TE BF'!$AB$11+'TE CVA'!$AB$11)*(1-CUSTOS!$M$34)</f>
        <v>77.627236916846073</v>
      </c>
      <c r="AB90" s="6">
        <f>$K$90*$V$90</f>
        <v>0</v>
      </c>
      <c r="AC90" s="6">
        <f>$M$90*$W$90</f>
        <v>23.327999999999999</v>
      </c>
      <c r="AD90" s="6">
        <f>$O$90*$X$90</f>
        <v>32.600999999999999</v>
      </c>
      <c r="AE90" s="6">
        <f>$K$90*$Y$90</f>
        <v>0</v>
      </c>
      <c r="AF90" s="6">
        <f ca="1">$M$90*$Z$90</f>
        <v>22.47763517511838</v>
      </c>
      <c r="AG90" s="6">
        <f>$O$90*$AA$90</f>
        <v>23.288171075053821</v>
      </c>
    </row>
    <row r="91" spans="1:33" ht="11.25" customHeight="1" x14ac:dyDescent="0.3">
      <c r="A91" s="4" t="s">
        <v>21</v>
      </c>
      <c r="B91" s="4" t="s">
        <v>22</v>
      </c>
      <c r="C91" s="4" t="s">
        <v>23</v>
      </c>
      <c r="D91" s="4" t="s">
        <v>24</v>
      </c>
      <c r="E91" s="4" t="s">
        <v>27</v>
      </c>
      <c r="F91" s="4" t="s">
        <v>25</v>
      </c>
      <c r="G91" s="4" t="s">
        <v>25</v>
      </c>
      <c r="H91" s="4" t="s">
        <v>25</v>
      </c>
      <c r="I91" s="5">
        <v>44774</v>
      </c>
      <c r="J91" s="6">
        <v>0</v>
      </c>
      <c r="K91" s="6">
        <v>0</v>
      </c>
      <c r="L91" s="6">
        <v>0.3</v>
      </c>
      <c r="M91" s="6">
        <v>0.3</v>
      </c>
      <c r="N91" s="6">
        <v>0.3</v>
      </c>
      <c r="O91" s="6">
        <v>0.3</v>
      </c>
      <c r="P91" s="6">
        <v>2</v>
      </c>
      <c r="Q91" s="4" t="s">
        <v>26</v>
      </c>
      <c r="R91" s="4">
        <v>0</v>
      </c>
      <c r="S91" s="6">
        <v>0</v>
      </c>
      <c r="T91" s="6">
        <v>16</v>
      </c>
      <c r="U91" s="6">
        <v>45</v>
      </c>
      <c r="V91" s="6">
        <f>IF(ISERROR(VLOOKUP($S$91,'TAR FIN'!$A$1:$O$85,15,0)),0,VLOOKUP($S$91,'TAR FIN'!$A$1:$O$85,15,0))</f>
        <v>0</v>
      </c>
      <c r="W91" s="6">
        <f>IF(ISERROR(VLOOKUP($T$91,'TAR FIN'!$A$1:$O$85,15,0)),0,VLOOKUP($T$91,'TAR FIN'!$A$1:$O$85,15,0))</f>
        <v>77.760000000000005</v>
      </c>
      <c r="X91" s="6">
        <f>IF(ISERROR(VLOOKUP($U$91,'TAR FIN'!$A$1:$O$85,15,0)),0,VLOOKUP($U$91,'TAR FIN'!$A$1:$O$85,15,0))</f>
        <v>108.67</v>
      </c>
      <c r="Y91" s="6"/>
      <c r="Z91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91" s="6">
        <f>('TE BE'!$AB$11+'TE BF'!$AB$11+'TE CVA'!$AB$11)*(1-CUSTOS!$M$34)</f>
        <v>77.627236916846073</v>
      </c>
      <c r="AB91" s="6">
        <f>$K$91*$V$91</f>
        <v>0</v>
      </c>
      <c r="AC91" s="6">
        <f>$M$91*$W$91</f>
        <v>23.327999999999999</v>
      </c>
      <c r="AD91" s="6">
        <f>$O$91*$X$91</f>
        <v>32.600999999999999</v>
      </c>
      <c r="AE91" s="6">
        <f>$K$91*$Y$91</f>
        <v>0</v>
      </c>
      <c r="AF91" s="6">
        <f ca="1">$M$91*$Z$91</f>
        <v>22.47763517511838</v>
      </c>
      <c r="AG91" s="6">
        <f>$O$91*$AA$91</f>
        <v>23.288171075053821</v>
      </c>
    </row>
    <row r="92" spans="1:33" ht="11.25" customHeight="1" x14ac:dyDescent="0.3">
      <c r="A92" s="4" t="s">
        <v>21</v>
      </c>
      <c r="B92" s="4" t="s">
        <v>22</v>
      </c>
      <c r="C92" s="4" t="s">
        <v>23</v>
      </c>
      <c r="D92" s="4" t="s">
        <v>24</v>
      </c>
      <c r="E92" s="4" t="s">
        <v>28</v>
      </c>
      <c r="F92" s="4" t="s">
        <v>25</v>
      </c>
      <c r="G92" s="4" t="s">
        <v>25</v>
      </c>
      <c r="H92" s="4" t="s">
        <v>25</v>
      </c>
      <c r="I92" s="5">
        <v>44440</v>
      </c>
      <c r="J92" s="6">
        <v>0</v>
      </c>
      <c r="K92" s="6">
        <v>0</v>
      </c>
      <c r="L92" s="6">
        <v>0.13200000000000001</v>
      </c>
      <c r="M92" s="6">
        <v>0.13200000000000001</v>
      </c>
      <c r="N92" s="6">
        <v>0.13200000000000001</v>
      </c>
      <c r="O92" s="6">
        <v>0.13200000000000001</v>
      </c>
      <c r="P92" s="6">
        <v>1</v>
      </c>
      <c r="Q92" s="4" t="s">
        <v>26</v>
      </c>
      <c r="R92" s="4">
        <v>0</v>
      </c>
      <c r="S92" s="6">
        <v>0</v>
      </c>
      <c r="T92" s="6">
        <v>10</v>
      </c>
      <c r="U92" s="6">
        <v>56</v>
      </c>
      <c r="V92" s="6">
        <f>IF(ISERROR(VLOOKUP($S$92,'TAR FIN'!$A$1:$O$85,15,0)),0,VLOOKUP($S$92,'TAR FIN'!$A$1:$O$85,15,0))</f>
        <v>0</v>
      </c>
      <c r="W92" s="6">
        <f>IF(ISERROR(VLOOKUP($T$92,'TAR FIN'!$A$1:$O$85,15,0)),0,VLOOKUP($T$92,'TAR FIN'!$A$1:$O$85,15,0))</f>
        <v>133.31</v>
      </c>
      <c r="X92" s="6">
        <f>IF(ISERROR(VLOOKUP($U$92,'TAR FIN'!$A$1:$O$85,15,0)),0,VLOOKUP($U$92,'TAR FIN'!$A$1:$O$85,15,0))</f>
        <v>186.3</v>
      </c>
      <c r="Y92" s="6"/>
      <c r="Z92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92" s="6">
        <f>('TE BE'!$AB$12+'TE BF'!$AB$12+'TE CVA'!$AB$12)*(1-CUSTOS!$M$35)</f>
        <v>133.07526328602185</v>
      </c>
      <c r="AB92" s="6">
        <f>$K$92*$V$92</f>
        <v>0</v>
      </c>
      <c r="AC92" s="6">
        <f>$M$92*$W$92</f>
        <v>17.596920000000001</v>
      </c>
      <c r="AD92" s="6">
        <f>$O$92*$X$92</f>
        <v>24.591600000000003</v>
      </c>
      <c r="AE92" s="6">
        <f>$K$92*$Y$92</f>
        <v>0</v>
      </c>
      <c r="AF92" s="6">
        <f ca="1">$M$92*$Z$92</f>
        <v>16.954559103517866</v>
      </c>
      <c r="AG92" s="6">
        <f>$O$92*$AA$92</f>
        <v>17.565934753754885</v>
      </c>
    </row>
    <row r="93" spans="1:33" ht="11.25" customHeight="1" x14ac:dyDescent="0.3">
      <c r="A93" s="4" t="s">
        <v>21</v>
      </c>
      <c r="B93" s="4" t="s">
        <v>22</v>
      </c>
      <c r="C93" s="4" t="s">
        <v>23</v>
      </c>
      <c r="D93" s="4" t="s">
        <v>24</v>
      </c>
      <c r="E93" s="4" t="s">
        <v>28</v>
      </c>
      <c r="F93" s="4" t="s">
        <v>25</v>
      </c>
      <c r="G93" s="4" t="s">
        <v>25</v>
      </c>
      <c r="H93" s="4" t="s">
        <v>25</v>
      </c>
      <c r="I93" s="5">
        <v>44470</v>
      </c>
      <c r="J93" s="6">
        <v>0</v>
      </c>
      <c r="K93" s="6">
        <v>0</v>
      </c>
      <c r="L93" s="6">
        <v>0.13300000000000001</v>
      </c>
      <c r="M93" s="6">
        <v>0.13300000000000001</v>
      </c>
      <c r="N93" s="6">
        <v>0.13300000000000001</v>
      </c>
      <c r="O93" s="6">
        <v>0.13300000000000001</v>
      </c>
      <c r="P93" s="6">
        <v>1</v>
      </c>
      <c r="Q93" s="4" t="s">
        <v>26</v>
      </c>
      <c r="R93" s="4">
        <v>0</v>
      </c>
      <c r="S93" s="6">
        <v>0</v>
      </c>
      <c r="T93" s="6">
        <v>10</v>
      </c>
      <c r="U93" s="6">
        <v>56</v>
      </c>
      <c r="V93" s="6">
        <f>IF(ISERROR(VLOOKUP($S$93,'TAR FIN'!$A$1:$O$85,15,0)),0,VLOOKUP($S$93,'TAR FIN'!$A$1:$O$85,15,0))</f>
        <v>0</v>
      </c>
      <c r="W93" s="6">
        <f>IF(ISERROR(VLOOKUP($T$93,'TAR FIN'!$A$1:$O$85,15,0)),0,VLOOKUP($T$93,'TAR FIN'!$A$1:$O$85,15,0))</f>
        <v>133.31</v>
      </c>
      <c r="X93" s="6">
        <f>IF(ISERROR(VLOOKUP($U$93,'TAR FIN'!$A$1:$O$85,15,0)),0,VLOOKUP($U$93,'TAR FIN'!$A$1:$O$85,15,0))</f>
        <v>186.3</v>
      </c>
      <c r="Y93" s="6"/>
      <c r="Z93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93" s="6">
        <f>('TE BE'!$AB$12+'TE BF'!$AB$12+'TE CVA'!$AB$12)*(1-CUSTOS!$M$35)</f>
        <v>133.07526328602185</v>
      </c>
      <c r="AB93" s="6">
        <f>$K$93*$V$93</f>
        <v>0</v>
      </c>
      <c r="AC93" s="6">
        <f>$M$93*$W$93</f>
        <v>17.730230000000002</v>
      </c>
      <c r="AD93" s="6">
        <f>$O$93*$X$93</f>
        <v>24.777900000000002</v>
      </c>
      <c r="AE93" s="6">
        <f>$K$93*$Y$93</f>
        <v>0</v>
      </c>
      <c r="AF93" s="6">
        <f ca="1">$M$93*$Z$93</f>
        <v>17.08300273308997</v>
      </c>
      <c r="AG93" s="6">
        <f>$O$93*$AA$93</f>
        <v>17.699010017040909</v>
      </c>
    </row>
    <row r="94" spans="1:33" ht="11.25" customHeight="1" x14ac:dyDescent="0.3">
      <c r="A94" s="4" t="s">
        <v>21</v>
      </c>
      <c r="B94" s="4" t="s">
        <v>22</v>
      </c>
      <c r="C94" s="4" t="s">
        <v>23</v>
      </c>
      <c r="D94" s="4" t="s">
        <v>24</v>
      </c>
      <c r="E94" s="4" t="s">
        <v>28</v>
      </c>
      <c r="F94" s="4" t="s">
        <v>25</v>
      </c>
      <c r="G94" s="4" t="s">
        <v>25</v>
      </c>
      <c r="H94" s="4" t="s">
        <v>25</v>
      </c>
      <c r="I94" s="5">
        <v>44501</v>
      </c>
      <c r="J94" s="6">
        <v>0</v>
      </c>
      <c r="K94" s="6">
        <v>0</v>
      </c>
      <c r="L94" s="6">
        <v>0.21</v>
      </c>
      <c r="M94" s="6">
        <v>0.21</v>
      </c>
      <c r="N94" s="6">
        <v>0.21</v>
      </c>
      <c r="O94" s="6">
        <v>0.21</v>
      </c>
      <c r="P94" s="6">
        <v>0</v>
      </c>
      <c r="Q94" s="4" t="s">
        <v>26</v>
      </c>
      <c r="R94" s="4">
        <v>0</v>
      </c>
      <c r="S94" s="6">
        <v>0</v>
      </c>
      <c r="T94" s="6">
        <v>10</v>
      </c>
      <c r="U94" s="6">
        <v>56</v>
      </c>
      <c r="V94" s="6">
        <f>IF(ISERROR(VLOOKUP($S$94,'TAR FIN'!$A$1:$O$85,15,0)),0,VLOOKUP($S$94,'TAR FIN'!$A$1:$O$85,15,0))</f>
        <v>0</v>
      </c>
      <c r="W94" s="6">
        <f>IF(ISERROR(VLOOKUP($T$94,'TAR FIN'!$A$1:$O$85,15,0)),0,VLOOKUP($T$94,'TAR FIN'!$A$1:$O$85,15,0))</f>
        <v>133.31</v>
      </c>
      <c r="X94" s="6">
        <f>IF(ISERROR(VLOOKUP($U$94,'TAR FIN'!$A$1:$O$85,15,0)),0,VLOOKUP($U$94,'TAR FIN'!$A$1:$O$85,15,0))</f>
        <v>186.3</v>
      </c>
      <c r="Y94" s="6"/>
      <c r="Z94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94" s="6">
        <f>('TE BE'!$AB$12+'TE BF'!$AB$12+'TE CVA'!$AB$12)*(1-CUSTOS!$M$35)</f>
        <v>133.07526328602185</v>
      </c>
      <c r="AB94" s="6">
        <f>$K$94*$V$94</f>
        <v>0</v>
      </c>
      <c r="AC94" s="6">
        <f>$M$94*$W$94</f>
        <v>27.995100000000001</v>
      </c>
      <c r="AD94" s="6">
        <f>$O$94*$X$94</f>
        <v>39.122999999999998</v>
      </c>
      <c r="AE94" s="6">
        <f>$K$94*$Y$94</f>
        <v>0</v>
      </c>
      <c r="AF94" s="6">
        <f ca="1">$M$94*$Z$94</f>
        <v>26.973162210142057</v>
      </c>
      <c r="AG94" s="6">
        <f>$O$94*$AA$94</f>
        <v>27.945805290064587</v>
      </c>
    </row>
    <row r="95" spans="1:33" ht="11.25" customHeight="1" x14ac:dyDescent="0.3">
      <c r="A95" s="4" t="s">
        <v>21</v>
      </c>
      <c r="B95" s="4" t="s">
        <v>22</v>
      </c>
      <c r="C95" s="4" t="s">
        <v>23</v>
      </c>
      <c r="D95" s="4" t="s">
        <v>24</v>
      </c>
      <c r="E95" s="4" t="s">
        <v>28</v>
      </c>
      <c r="F95" s="4" t="s">
        <v>25</v>
      </c>
      <c r="G95" s="4" t="s">
        <v>25</v>
      </c>
      <c r="H95" s="4" t="s">
        <v>25</v>
      </c>
      <c r="I95" s="5">
        <v>44531</v>
      </c>
      <c r="J95" s="6">
        <v>0</v>
      </c>
      <c r="K95" s="6">
        <v>0</v>
      </c>
      <c r="L95" s="6">
        <v>0.21</v>
      </c>
      <c r="M95" s="6">
        <v>0.21</v>
      </c>
      <c r="N95" s="6">
        <v>0.21</v>
      </c>
      <c r="O95" s="6">
        <v>0.21</v>
      </c>
      <c r="P95" s="6">
        <v>0</v>
      </c>
      <c r="Q95" s="4" t="s">
        <v>26</v>
      </c>
      <c r="R95" s="4">
        <v>0</v>
      </c>
      <c r="S95" s="6">
        <v>0</v>
      </c>
      <c r="T95" s="6">
        <v>10</v>
      </c>
      <c r="U95" s="6">
        <v>56</v>
      </c>
      <c r="V95" s="6">
        <f>IF(ISERROR(VLOOKUP($S$95,'TAR FIN'!$A$1:$O$85,15,0)),0,VLOOKUP($S$95,'TAR FIN'!$A$1:$O$85,15,0))</f>
        <v>0</v>
      </c>
      <c r="W95" s="6">
        <f>IF(ISERROR(VLOOKUP($T$95,'TAR FIN'!$A$1:$O$85,15,0)),0,VLOOKUP($T$95,'TAR FIN'!$A$1:$O$85,15,0))</f>
        <v>133.31</v>
      </c>
      <c r="X95" s="6">
        <f>IF(ISERROR(VLOOKUP($U$95,'TAR FIN'!$A$1:$O$85,15,0)),0,VLOOKUP($U$95,'TAR FIN'!$A$1:$O$85,15,0))</f>
        <v>186.3</v>
      </c>
      <c r="Y95" s="6"/>
      <c r="Z95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95" s="6">
        <f>('TE BE'!$AB$12+'TE BF'!$AB$12+'TE CVA'!$AB$12)*(1-CUSTOS!$M$35)</f>
        <v>133.07526328602185</v>
      </c>
      <c r="AB95" s="6">
        <f>$K$95*$V$95</f>
        <v>0</v>
      </c>
      <c r="AC95" s="6">
        <f>$M$95*$W$95</f>
        <v>27.995100000000001</v>
      </c>
      <c r="AD95" s="6">
        <f>$O$95*$X$95</f>
        <v>39.122999999999998</v>
      </c>
      <c r="AE95" s="6">
        <f>$K$95*$Y$95</f>
        <v>0</v>
      </c>
      <c r="AF95" s="6">
        <f ca="1">$M$95*$Z$95</f>
        <v>26.973162210142057</v>
      </c>
      <c r="AG95" s="6">
        <f>$O$95*$AA$95</f>
        <v>27.945805290064587</v>
      </c>
    </row>
    <row r="96" spans="1:33" ht="11.25" customHeight="1" x14ac:dyDescent="0.3">
      <c r="A96" s="4" t="s">
        <v>21</v>
      </c>
      <c r="B96" s="4" t="s">
        <v>22</v>
      </c>
      <c r="C96" s="4" t="s">
        <v>23</v>
      </c>
      <c r="D96" s="4" t="s">
        <v>24</v>
      </c>
      <c r="E96" s="4" t="s">
        <v>28</v>
      </c>
      <c r="F96" s="4" t="s">
        <v>25</v>
      </c>
      <c r="G96" s="4" t="s">
        <v>25</v>
      </c>
      <c r="H96" s="4" t="s">
        <v>25</v>
      </c>
      <c r="I96" s="5">
        <v>44562</v>
      </c>
      <c r="J96" s="6">
        <v>0</v>
      </c>
      <c r="K96" s="6">
        <v>0</v>
      </c>
      <c r="L96" s="6">
        <v>0.21</v>
      </c>
      <c r="M96" s="6">
        <v>0.21</v>
      </c>
      <c r="N96" s="6">
        <v>0.21</v>
      </c>
      <c r="O96" s="6">
        <v>0.21</v>
      </c>
      <c r="P96" s="6">
        <v>0</v>
      </c>
      <c r="Q96" s="4" t="s">
        <v>26</v>
      </c>
      <c r="R96" s="4">
        <v>0</v>
      </c>
      <c r="S96" s="6">
        <v>0</v>
      </c>
      <c r="T96" s="6">
        <v>10</v>
      </c>
      <c r="U96" s="6">
        <v>56</v>
      </c>
      <c r="V96" s="6">
        <f>IF(ISERROR(VLOOKUP($S$96,'TAR FIN'!$A$1:$O$85,15,0)),0,VLOOKUP($S$96,'TAR FIN'!$A$1:$O$85,15,0))</f>
        <v>0</v>
      </c>
      <c r="W96" s="6">
        <f>IF(ISERROR(VLOOKUP($T$96,'TAR FIN'!$A$1:$O$85,15,0)),0,VLOOKUP($T$96,'TAR FIN'!$A$1:$O$85,15,0))</f>
        <v>133.31</v>
      </c>
      <c r="X96" s="6">
        <f>IF(ISERROR(VLOOKUP($U$96,'TAR FIN'!$A$1:$O$85,15,0)),0,VLOOKUP($U$96,'TAR FIN'!$A$1:$O$85,15,0))</f>
        <v>186.3</v>
      </c>
      <c r="Y96" s="6"/>
      <c r="Z96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96" s="6">
        <f>('TE BE'!$AB$12+'TE BF'!$AB$12+'TE CVA'!$AB$12)*(1-CUSTOS!$M$35)</f>
        <v>133.07526328602185</v>
      </c>
      <c r="AB96" s="6">
        <f>$K$96*$V$96</f>
        <v>0</v>
      </c>
      <c r="AC96" s="6">
        <f>$M$96*$W$96</f>
        <v>27.995100000000001</v>
      </c>
      <c r="AD96" s="6">
        <f>$O$96*$X$96</f>
        <v>39.122999999999998</v>
      </c>
      <c r="AE96" s="6">
        <f>$K$96*$Y$96</f>
        <v>0</v>
      </c>
      <c r="AF96" s="6">
        <f ca="1">$M$96*$Z$96</f>
        <v>26.973162210142057</v>
      </c>
      <c r="AG96" s="6">
        <f>$O$96*$AA$96</f>
        <v>27.945805290064587</v>
      </c>
    </row>
    <row r="97" spans="1:33" ht="11.25" customHeight="1" x14ac:dyDescent="0.3">
      <c r="A97" s="4" t="s">
        <v>21</v>
      </c>
      <c r="B97" s="4" t="s">
        <v>22</v>
      </c>
      <c r="C97" s="4" t="s">
        <v>23</v>
      </c>
      <c r="D97" s="4" t="s">
        <v>24</v>
      </c>
      <c r="E97" s="4" t="s">
        <v>28</v>
      </c>
      <c r="F97" s="4" t="s">
        <v>25</v>
      </c>
      <c r="G97" s="4" t="s">
        <v>25</v>
      </c>
      <c r="H97" s="4" t="s">
        <v>25</v>
      </c>
      <c r="I97" s="5">
        <v>44593</v>
      </c>
      <c r="J97" s="6">
        <v>0</v>
      </c>
      <c r="K97" s="6">
        <v>0</v>
      </c>
      <c r="L97" s="6">
        <v>0.42</v>
      </c>
      <c r="M97" s="6">
        <v>0.42</v>
      </c>
      <c r="N97" s="6">
        <v>0.42</v>
      </c>
      <c r="O97" s="6">
        <v>0.42</v>
      </c>
      <c r="P97" s="6">
        <v>0</v>
      </c>
      <c r="Q97" s="4" t="s">
        <v>26</v>
      </c>
      <c r="R97" s="4">
        <v>0</v>
      </c>
      <c r="S97" s="6">
        <v>0</v>
      </c>
      <c r="T97" s="6">
        <v>10</v>
      </c>
      <c r="U97" s="6">
        <v>56</v>
      </c>
      <c r="V97" s="6">
        <f>IF(ISERROR(VLOOKUP($S$97,'TAR FIN'!$A$1:$O$85,15,0)),0,VLOOKUP($S$97,'TAR FIN'!$A$1:$O$85,15,0))</f>
        <v>0</v>
      </c>
      <c r="W97" s="6">
        <f>IF(ISERROR(VLOOKUP($T$97,'TAR FIN'!$A$1:$O$85,15,0)),0,VLOOKUP($T$97,'TAR FIN'!$A$1:$O$85,15,0))</f>
        <v>133.31</v>
      </c>
      <c r="X97" s="6">
        <f>IF(ISERROR(VLOOKUP($U$97,'TAR FIN'!$A$1:$O$85,15,0)),0,VLOOKUP($U$97,'TAR FIN'!$A$1:$O$85,15,0))</f>
        <v>186.3</v>
      </c>
      <c r="Y97" s="6"/>
      <c r="Z97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97" s="6">
        <f>('TE BE'!$AB$12+'TE BF'!$AB$12+'TE CVA'!$AB$12)*(1-CUSTOS!$M$35)</f>
        <v>133.07526328602185</v>
      </c>
      <c r="AB97" s="6">
        <f>$K$97*$V$97</f>
        <v>0</v>
      </c>
      <c r="AC97" s="6">
        <f>$M$97*$W$97</f>
        <v>55.990200000000002</v>
      </c>
      <c r="AD97" s="6">
        <f>$O$97*$X$97</f>
        <v>78.245999999999995</v>
      </c>
      <c r="AE97" s="6">
        <f>$K$97*$Y$97</f>
        <v>0</v>
      </c>
      <c r="AF97" s="6">
        <f ca="1">$M$97*$Z$97</f>
        <v>53.946324420284114</v>
      </c>
      <c r="AG97" s="6">
        <f>$O$97*$AA$97</f>
        <v>55.891610580129175</v>
      </c>
    </row>
    <row r="98" spans="1:33" ht="11.25" customHeight="1" x14ac:dyDescent="0.3">
      <c r="A98" s="4" t="s">
        <v>21</v>
      </c>
      <c r="B98" s="4" t="s">
        <v>22</v>
      </c>
      <c r="C98" s="4" t="s">
        <v>23</v>
      </c>
      <c r="D98" s="4" t="s">
        <v>24</v>
      </c>
      <c r="E98" s="4" t="s">
        <v>28</v>
      </c>
      <c r="F98" s="4" t="s">
        <v>25</v>
      </c>
      <c r="G98" s="4" t="s">
        <v>25</v>
      </c>
      <c r="H98" s="4" t="s">
        <v>25</v>
      </c>
      <c r="I98" s="5">
        <v>44621</v>
      </c>
      <c r="J98" s="6">
        <v>0</v>
      </c>
      <c r="K98" s="6">
        <v>0</v>
      </c>
      <c r="L98" s="6">
        <v>0.56100000000000005</v>
      </c>
      <c r="M98" s="6">
        <v>0.56100000000000005</v>
      </c>
      <c r="N98" s="6">
        <v>0.56100000000000005</v>
      </c>
      <c r="O98" s="6">
        <v>0.56100000000000005</v>
      </c>
      <c r="P98" s="6">
        <v>1</v>
      </c>
      <c r="Q98" s="4" t="s">
        <v>26</v>
      </c>
      <c r="R98" s="4">
        <v>0</v>
      </c>
      <c r="S98" s="6">
        <v>0</v>
      </c>
      <c r="T98" s="6">
        <v>10</v>
      </c>
      <c r="U98" s="6">
        <v>56</v>
      </c>
      <c r="V98" s="6">
        <f>IF(ISERROR(VLOOKUP($S$98,'TAR FIN'!$A$1:$O$85,15,0)),0,VLOOKUP($S$98,'TAR FIN'!$A$1:$O$85,15,0))</f>
        <v>0</v>
      </c>
      <c r="W98" s="6">
        <f>IF(ISERROR(VLOOKUP($T$98,'TAR FIN'!$A$1:$O$85,15,0)),0,VLOOKUP($T$98,'TAR FIN'!$A$1:$O$85,15,0))</f>
        <v>133.31</v>
      </c>
      <c r="X98" s="6">
        <f>IF(ISERROR(VLOOKUP($U$98,'TAR FIN'!$A$1:$O$85,15,0)),0,VLOOKUP($U$98,'TAR FIN'!$A$1:$O$85,15,0))</f>
        <v>186.3</v>
      </c>
      <c r="Y98" s="6"/>
      <c r="Z98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98" s="6">
        <f>('TE BE'!$AB$12+'TE BF'!$AB$12+'TE CVA'!$AB$12)*(1-CUSTOS!$M$35)</f>
        <v>133.07526328602185</v>
      </c>
      <c r="AB98" s="6">
        <f>$K$98*$V$98</f>
        <v>0</v>
      </c>
      <c r="AC98" s="6">
        <f>$M$98*$W$98</f>
        <v>74.786910000000006</v>
      </c>
      <c r="AD98" s="6">
        <f>$O$98*$X$98</f>
        <v>104.51430000000002</v>
      </c>
      <c r="AE98" s="6">
        <f>$K$98*$Y$98</f>
        <v>0</v>
      </c>
      <c r="AF98" s="6">
        <f ca="1">$M$98*$Z$98</f>
        <v>72.056876189950927</v>
      </c>
      <c r="AG98" s="6">
        <f>$O$98*$AA$98</f>
        <v>74.655222703458264</v>
      </c>
    </row>
    <row r="99" spans="1:33" ht="11.25" customHeight="1" x14ac:dyDescent="0.3">
      <c r="A99" s="4" t="s">
        <v>21</v>
      </c>
      <c r="B99" s="4" t="s">
        <v>22</v>
      </c>
      <c r="C99" s="4" t="s">
        <v>23</v>
      </c>
      <c r="D99" s="4" t="s">
        <v>24</v>
      </c>
      <c r="E99" s="4" t="s">
        <v>28</v>
      </c>
      <c r="F99" s="4" t="s">
        <v>25</v>
      </c>
      <c r="G99" s="4" t="s">
        <v>25</v>
      </c>
      <c r="H99" s="4" t="s">
        <v>25</v>
      </c>
      <c r="I99" s="5">
        <v>44652</v>
      </c>
      <c r="J99" s="6">
        <v>0</v>
      </c>
      <c r="K99" s="6">
        <v>0</v>
      </c>
      <c r="L99" s="6">
        <v>0.49199999999999999</v>
      </c>
      <c r="M99" s="6">
        <v>0.49199999999999999</v>
      </c>
      <c r="N99" s="6">
        <v>0.49199999999999999</v>
      </c>
      <c r="O99" s="6">
        <v>0.49199999999999999</v>
      </c>
      <c r="P99" s="6">
        <v>1</v>
      </c>
      <c r="Q99" s="4" t="s">
        <v>26</v>
      </c>
      <c r="R99" s="4">
        <v>0</v>
      </c>
      <c r="S99" s="6">
        <v>0</v>
      </c>
      <c r="T99" s="6">
        <v>10</v>
      </c>
      <c r="U99" s="6">
        <v>56</v>
      </c>
      <c r="V99" s="6">
        <f>IF(ISERROR(VLOOKUP($S$99,'TAR FIN'!$A$1:$O$85,15,0)),0,VLOOKUP($S$99,'TAR FIN'!$A$1:$O$85,15,0))</f>
        <v>0</v>
      </c>
      <c r="W99" s="6">
        <f>IF(ISERROR(VLOOKUP($T$99,'TAR FIN'!$A$1:$O$85,15,0)),0,VLOOKUP($T$99,'TAR FIN'!$A$1:$O$85,15,0))</f>
        <v>133.31</v>
      </c>
      <c r="X99" s="6">
        <f>IF(ISERROR(VLOOKUP($U$99,'TAR FIN'!$A$1:$O$85,15,0)),0,VLOOKUP($U$99,'TAR FIN'!$A$1:$O$85,15,0))</f>
        <v>186.3</v>
      </c>
      <c r="Y99" s="6"/>
      <c r="Z99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99" s="6">
        <f>('TE BE'!$AB$12+'TE BF'!$AB$12+'TE CVA'!$AB$12)*(1-CUSTOS!$M$35)</f>
        <v>133.07526328602185</v>
      </c>
      <c r="AB99" s="6">
        <f>$K$99*$V$99</f>
        <v>0</v>
      </c>
      <c r="AC99" s="6">
        <f>$M$99*$W$99</f>
        <v>65.588520000000003</v>
      </c>
      <c r="AD99" s="6">
        <f>$O$99*$X$99</f>
        <v>91.659599999999998</v>
      </c>
      <c r="AE99" s="6">
        <f>$K$99*$Y$99</f>
        <v>0</v>
      </c>
      <c r="AF99" s="6">
        <f ca="1">$M$99*$Z$99</f>
        <v>63.194265749475676</v>
      </c>
      <c r="AG99" s="6">
        <f>$O$99*$AA$99</f>
        <v>65.473029536722748</v>
      </c>
    </row>
    <row r="100" spans="1:33" ht="11.25" customHeight="1" x14ac:dyDescent="0.3">
      <c r="A100" s="4" t="s">
        <v>21</v>
      </c>
      <c r="B100" s="4" t="s">
        <v>22</v>
      </c>
      <c r="C100" s="4" t="s">
        <v>23</v>
      </c>
      <c r="D100" s="4" t="s">
        <v>24</v>
      </c>
      <c r="E100" s="4" t="s">
        <v>28</v>
      </c>
      <c r="F100" s="4" t="s">
        <v>25</v>
      </c>
      <c r="G100" s="4" t="s">
        <v>25</v>
      </c>
      <c r="H100" s="4" t="s">
        <v>25</v>
      </c>
      <c r="I100" s="5">
        <v>44682</v>
      </c>
      <c r="J100" s="6">
        <v>0</v>
      </c>
      <c r="K100" s="6">
        <v>0</v>
      </c>
      <c r="L100" s="6">
        <v>0.495</v>
      </c>
      <c r="M100" s="6">
        <v>0.495</v>
      </c>
      <c r="N100" s="6">
        <v>0.495</v>
      </c>
      <c r="O100" s="6">
        <v>0.495</v>
      </c>
      <c r="P100" s="6">
        <v>1</v>
      </c>
      <c r="Q100" s="4" t="s">
        <v>26</v>
      </c>
      <c r="R100" s="4">
        <v>0</v>
      </c>
      <c r="S100" s="6">
        <v>0</v>
      </c>
      <c r="T100" s="6">
        <v>10</v>
      </c>
      <c r="U100" s="6">
        <v>56</v>
      </c>
      <c r="V100" s="6">
        <f>IF(ISERROR(VLOOKUP($S$100,'TAR FIN'!$A$1:$O$85,15,0)),0,VLOOKUP($S$100,'TAR FIN'!$A$1:$O$85,15,0))</f>
        <v>0</v>
      </c>
      <c r="W100" s="6">
        <f>IF(ISERROR(VLOOKUP($T$100,'TAR FIN'!$A$1:$O$85,15,0)),0,VLOOKUP($T$100,'TAR FIN'!$A$1:$O$85,15,0))</f>
        <v>133.31</v>
      </c>
      <c r="X100" s="6">
        <f>IF(ISERROR(VLOOKUP($U$100,'TAR FIN'!$A$1:$O$85,15,0)),0,VLOOKUP($U$100,'TAR FIN'!$A$1:$O$85,15,0))</f>
        <v>186.3</v>
      </c>
      <c r="Y100" s="6"/>
      <c r="Z100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100" s="6">
        <f>('TE BE'!$AB$12+'TE BF'!$AB$12+'TE CVA'!$AB$12)*(1-CUSTOS!$M$35)</f>
        <v>133.07526328602185</v>
      </c>
      <c r="AB100" s="6">
        <f>$K$100*$V$100</f>
        <v>0</v>
      </c>
      <c r="AC100" s="6">
        <f>$M$100*$W$100</f>
        <v>65.98845</v>
      </c>
      <c r="AD100" s="6">
        <f>$O$100*$X$100</f>
        <v>92.218500000000006</v>
      </c>
      <c r="AE100" s="6">
        <f>$K$100*$Y$100</f>
        <v>0</v>
      </c>
      <c r="AF100" s="6">
        <f ca="1">$M$100*$Z$100</f>
        <v>63.579596638191994</v>
      </c>
      <c r="AG100" s="6">
        <f>$O$100*$AA$100</f>
        <v>65.872255326580813</v>
      </c>
    </row>
    <row r="101" spans="1:33" ht="11.25" customHeight="1" x14ac:dyDescent="0.3">
      <c r="A101" s="4" t="s">
        <v>21</v>
      </c>
      <c r="B101" s="4" t="s">
        <v>22</v>
      </c>
      <c r="C101" s="4" t="s">
        <v>23</v>
      </c>
      <c r="D101" s="4" t="s">
        <v>24</v>
      </c>
      <c r="E101" s="4" t="s">
        <v>28</v>
      </c>
      <c r="F101" s="4" t="s">
        <v>25</v>
      </c>
      <c r="G101" s="4" t="s">
        <v>25</v>
      </c>
      <c r="H101" s="4" t="s">
        <v>25</v>
      </c>
      <c r="I101" s="5">
        <v>44713</v>
      </c>
      <c r="J101" s="6">
        <v>0</v>
      </c>
      <c r="K101" s="6">
        <v>0</v>
      </c>
      <c r="L101" s="6">
        <v>0.48099999999999998</v>
      </c>
      <c r="M101" s="6">
        <v>0.48099999999999998</v>
      </c>
      <c r="N101" s="6">
        <v>0.48099999999999998</v>
      </c>
      <c r="O101" s="6">
        <v>0.48099999999999998</v>
      </c>
      <c r="P101" s="6">
        <v>2</v>
      </c>
      <c r="Q101" s="4" t="s">
        <v>26</v>
      </c>
      <c r="R101" s="4">
        <v>0</v>
      </c>
      <c r="S101" s="6">
        <v>0</v>
      </c>
      <c r="T101" s="6">
        <v>10</v>
      </c>
      <c r="U101" s="6">
        <v>56</v>
      </c>
      <c r="V101" s="6">
        <f>IF(ISERROR(VLOOKUP($S$101,'TAR FIN'!$A$1:$O$85,15,0)),0,VLOOKUP($S$101,'TAR FIN'!$A$1:$O$85,15,0))</f>
        <v>0</v>
      </c>
      <c r="W101" s="6">
        <f>IF(ISERROR(VLOOKUP($T$101,'TAR FIN'!$A$1:$O$85,15,0)),0,VLOOKUP($T$101,'TAR FIN'!$A$1:$O$85,15,0))</f>
        <v>133.31</v>
      </c>
      <c r="X101" s="6">
        <f>IF(ISERROR(VLOOKUP($U$101,'TAR FIN'!$A$1:$O$85,15,0)),0,VLOOKUP($U$101,'TAR FIN'!$A$1:$O$85,15,0))</f>
        <v>186.3</v>
      </c>
      <c r="Y101" s="6"/>
      <c r="Z101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101" s="6">
        <f>('TE BE'!$AB$12+'TE BF'!$AB$12+'TE CVA'!$AB$12)*(1-CUSTOS!$M$35)</f>
        <v>133.07526328602185</v>
      </c>
      <c r="AB101" s="6">
        <f>$K$101*$V$101</f>
        <v>0</v>
      </c>
      <c r="AC101" s="6">
        <f>$M$101*$W$101</f>
        <v>64.122109999999992</v>
      </c>
      <c r="AD101" s="6">
        <f>$O$101*$X$101</f>
        <v>89.610300000000009</v>
      </c>
      <c r="AE101" s="6">
        <f>$K$101*$Y$101</f>
        <v>0</v>
      </c>
      <c r="AF101" s="6">
        <f ca="1">$M$101*$Z$101</f>
        <v>61.781385824182522</v>
      </c>
      <c r="AG101" s="6">
        <f>$O$101*$AA$101</f>
        <v>64.009201640576507</v>
      </c>
    </row>
    <row r="102" spans="1:33" ht="11.25" customHeight="1" x14ac:dyDescent="0.3">
      <c r="A102" s="4" t="s">
        <v>21</v>
      </c>
      <c r="B102" s="4" t="s">
        <v>22</v>
      </c>
      <c r="C102" s="4" t="s">
        <v>23</v>
      </c>
      <c r="D102" s="4" t="s">
        <v>24</v>
      </c>
      <c r="E102" s="4" t="s">
        <v>28</v>
      </c>
      <c r="F102" s="4" t="s">
        <v>25</v>
      </c>
      <c r="G102" s="4" t="s">
        <v>25</v>
      </c>
      <c r="H102" s="4" t="s">
        <v>25</v>
      </c>
      <c r="I102" s="5">
        <v>44743</v>
      </c>
      <c r="J102" s="6">
        <v>0</v>
      </c>
      <c r="K102" s="6">
        <v>0</v>
      </c>
      <c r="L102" s="6">
        <v>0.48899999999999999</v>
      </c>
      <c r="M102" s="6">
        <v>0.48899999999999999</v>
      </c>
      <c r="N102" s="6">
        <v>0.48899999999999999</v>
      </c>
      <c r="O102" s="6">
        <v>0.48899999999999999</v>
      </c>
      <c r="P102" s="6">
        <v>2</v>
      </c>
      <c r="Q102" s="4" t="s">
        <v>26</v>
      </c>
      <c r="R102" s="4">
        <v>0</v>
      </c>
      <c r="S102" s="6">
        <v>0</v>
      </c>
      <c r="T102" s="6">
        <v>10</v>
      </c>
      <c r="U102" s="6">
        <v>56</v>
      </c>
      <c r="V102" s="6">
        <f>IF(ISERROR(VLOOKUP($S$102,'TAR FIN'!$A$1:$O$85,15,0)),0,VLOOKUP($S$102,'TAR FIN'!$A$1:$O$85,15,0))</f>
        <v>0</v>
      </c>
      <c r="W102" s="6">
        <f>IF(ISERROR(VLOOKUP($T$102,'TAR FIN'!$A$1:$O$85,15,0)),0,VLOOKUP($T$102,'TAR FIN'!$A$1:$O$85,15,0))</f>
        <v>133.31</v>
      </c>
      <c r="X102" s="6">
        <f>IF(ISERROR(VLOOKUP($U$102,'TAR FIN'!$A$1:$O$85,15,0)),0,VLOOKUP($U$102,'TAR FIN'!$A$1:$O$85,15,0))</f>
        <v>186.3</v>
      </c>
      <c r="Y102" s="6"/>
      <c r="Z102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102" s="6">
        <f>('TE BE'!$AB$12+'TE BF'!$AB$12+'TE CVA'!$AB$12)*(1-CUSTOS!$M$35)</f>
        <v>133.07526328602185</v>
      </c>
      <c r="AB102" s="6">
        <f>$K$102*$V$102</f>
        <v>0</v>
      </c>
      <c r="AC102" s="6">
        <f>$M$102*$W$102</f>
        <v>65.188590000000005</v>
      </c>
      <c r="AD102" s="6">
        <f>$O$102*$X$102</f>
        <v>91.100700000000003</v>
      </c>
      <c r="AE102" s="6">
        <f>$K$102*$Y$102</f>
        <v>0</v>
      </c>
      <c r="AF102" s="6">
        <f ca="1">$M$102*$Z$102</f>
        <v>62.808934860759365</v>
      </c>
      <c r="AG102" s="6">
        <f>$O$102*$AA$102</f>
        <v>65.073803746864684</v>
      </c>
    </row>
    <row r="103" spans="1:33" ht="11.25" customHeight="1" x14ac:dyDescent="0.3">
      <c r="A103" s="4" t="s">
        <v>21</v>
      </c>
      <c r="B103" s="4" t="s">
        <v>22</v>
      </c>
      <c r="C103" s="4" t="s">
        <v>23</v>
      </c>
      <c r="D103" s="4" t="s">
        <v>24</v>
      </c>
      <c r="E103" s="4" t="s">
        <v>28</v>
      </c>
      <c r="F103" s="4" t="s">
        <v>25</v>
      </c>
      <c r="G103" s="4" t="s">
        <v>25</v>
      </c>
      <c r="H103" s="4" t="s">
        <v>25</v>
      </c>
      <c r="I103" s="5">
        <v>44774</v>
      </c>
      <c r="J103" s="6">
        <v>0</v>
      </c>
      <c r="K103" s="6">
        <v>0</v>
      </c>
      <c r="L103" s="6">
        <v>0.49399999999999999</v>
      </c>
      <c r="M103" s="6">
        <v>0.49399999999999999</v>
      </c>
      <c r="N103" s="6">
        <v>0.49399999999999999</v>
      </c>
      <c r="O103" s="6">
        <v>0.49399999999999999</v>
      </c>
      <c r="P103" s="6">
        <v>1</v>
      </c>
      <c r="Q103" s="4" t="s">
        <v>26</v>
      </c>
      <c r="R103" s="4">
        <v>0</v>
      </c>
      <c r="S103" s="6">
        <v>0</v>
      </c>
      <c r="T103" s="6">
        <v>10</v>
      </c>
      <c r="U103" s="6">
        <v>56</v>
      </c>
      <c r="V103" s="6">
        <f>IF(ISERROR(VLOOKUP($S$103,'TAR FIN'!$A$1:$O$85,15,0)),0,VLOOKUP($S$103,'TAR FIN'!$A$1:$O$85,15,0))</f>
        <v>0</v>
      </c>
      <c r="W103" s="6">
        <f>IF(ISERROR(VLOOKUP($T$103,'TAR FIN'!$A$1:$O$85,15,0)),0,VLOOKUP($T$103,'TAR FIN'!$A$1:$O$85,15,0))</f>
        <v>133.31</v>
      </c>
      <c r="X103" s="6">
        <f>IF(ISERROR(VLOOKUP($U$103,'TAR FIN'!$A$1:$O$85,15,0)),0,VLOOKUP($U$103,'TAR FIN'!$A$1:$O$85,15,0))</f>
        <v>186.3</v>
      </c>
      <c r="Y103" s="6"/>
      <c r="Z103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103" s="6">
        <f>('TE BE'!$AB$12+'TE BF'!$AB$12+'TE CVA'!$AB$12)*(1-CUSTOS!$M$35)</f>
        <v>133.07526328602185</v>
      </c>
      <c r="AB103" s="6">
        <f>$K$103*$V$103</f>
        <v>0</v>
      </c>
      <c r="AC103" s="6">
        <f>$M$103*$W$103</f>
        <v>65.855140000000006</v>
      </c>
      <c r="AD103" s="6">
        <f>$O$103*$X$103</f>
        <v>92.032200000000003</v>
      </c>
      <c r="AE103" s="6">
        <f>$K$103*$Y$103</f>
        <v>0</v>
      </c>
      <c r="AF103" s="6">
        <f ca="1">$M$103*$Z$103</f>
        <v>63.45115300861989</v>
      </c>
      <c r="AG103" s="6">
        <f>$O$103*$AA$103</f>
        <v>65.739180063294796</v>
      </c>
    </row>
    <row r="104" spans="1:33" ht="11.25" customHeight="1" x14ac:dyDescent="0.3">
      <c r="A104" s="4" t="s">
        <v>21</v>
      </c>
      <c r="B104" s="4" t="s">
        <v>22</v>
      </c>
      <c r="C104" s="4" t="s">
        <v>23</v>
      </c>
      <c r="D104" s="4" t="s">
        <v>24</v>
      </c>
      <c r="E104" s="4" t="s">
        <v>29</v>
      </c>
      <c r="F104" s="4" t="s">
        <v>25</v>
      </c>
      <c r="G104" s="4" t="s">
        <v>25</v>
      </c>
      <c r="H104" s="4" t="s">
        <v>25</v>
      </c>
      <c r="I104" s="5">
        <v>44440</v>
      </c>
      <c r="J104" s="6">
        <v>0</v>
      </c>
      <c r="K104" s="6">
        <v>0</v>
      </c>
      <c r="L104" s="6">
        <v>0.12</v>
      </c>
      <c r="M104" s="6">
        <v>0.12</v>
      </c>
      <c r="N104" s="6">
        <v>0.12</v>
      </c>
      <c r="O104" s="6">
        <v>0.12</v>
      </c>
      <c r="P104" s="6">
        <v>0</v>
      </c>
      <c r="Q104" s="4" t="s">
        <v>26</v>
      </c>
      <c r="R104" s="4">
        <v>0</v>
      </c>
      <c r="S104" s="6">
        <v>0</v>
      </c>
      <c r="T104" s="6">
        <v>42</v>
      </c>
      <c r="U104" s="6">
        <v>60</v>
      </c>
      <c r="V104" s="6">
        <f>IF(ISERROR(VLOOKUP($S$104,'TAR FIN'!$A$1:$O$85,15,0)),0,VLOOKUP($S$104,'TAR FIN'!$A$1:$O$85,15,0))</f>
        <v>0</v>
      </c>
      <c r="W104" s="6">
        <f>IF(ISERROR(VLOOKUP($T$104,'TAR FIN'!$A$1:$O$85,15,0)),0,VLOOKUP($T$104,'TAR FIN'!$A$1:$O$85,15,0))</f>
        <v>199.96</v>
      </c>
      <c r="X104" s="6">
        <f>IF(ISERROR(VLOOKUP($U$104,'TAR FIN'!$A$1:$O$85,15,0)),0,VLOOKUP($U$104,'TAR FIN'!$A$1:$O$85,15,0))</f>
        <v>279.45</v>
      </c>
      <c r="Y104" s="6"/>
      <c r="Z104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04" s="6">
        <f>('TE BE'!$AB$13+'TE BF'!$AB$13+'TE CVA'!$AB$13)*(1-CUSTOS!$M$36)</f>
        <v>199.61289492903279</v>
      </c>
      <c r="AB104" s="6">
        <f>$K$104*$V$104</f>
        <v>0</v>
      </c>
      <c r="AC104" s="6">
        <f>$M$104*$W$104</f>
        <v>23.995200000000001</v>
      </c>
      <c r="AD104" s="6">
        <f>$O$104*$X$104</f>
        <v>33.533999999999999</v>
      </c>
      <c r="AE104" s="6">
        <f>$K$104*$Y$104</f>
        <v>0</v>
      </c>
      <c r="AF104" s="6">
        <f ca="1">$M$104*$Z$104</f>
        <v>23.119853322978908</v>
      </c>
      <c r="AG104" s="6">
        <f>$O$104*$AA$104</f>
        <v>23.953547391483934</v>
      </c>
    </row>
    <row r="105" spans="1:33" ht="11.25" customHeight="1" x14ac:dyDescent="0.3">
      <c r="A105" s="4" t="s">
        <v>21</v>
      </c>
      <c r="B105" s="4" t="s">
        <v>22</v>
      </c>
      <c r="C105" s="4" t="s">
        <v>23</v>
      </c>
      <c r="D105" s="4" t="s">
        <v>24</v>
      </c>
      <c r="E105" s="4" t="s">
        <v>29</v>
      </c>
      <c r="F105" s="4" t="s">
        <v>25</v>
      </c>
      <c r="G105" s="4" t="s">
        <v>25</v>
      </c>
      <c r="H105" s="4" t="s">
        <v>25</v>
      </c>
      <c r="I105" s="5">
        <v>44470</v>
      </c>
      <c r="J105" s="6">
        <v>0</v>
      </c>
      <c r="K105" s="6">
        <v>0</v>
      </c>
      <c r="L105" s="6">
        <v>0.106</v>
      </c>
      <c r="M105" s="6">
        <v>0.106</v>
      </c>
      <c r="N105" s="6">
        <v>0.106</v>
      </c>
      <c r="O105" s="6">
        <v>0.106</v>
      </c>
      <c r="P105" s="6">
        <v>1</v>
      </c>
      <c r="Q105" s="4" t="s">
        <v>26</v>
      </c>
      <c r="R105" s="4">
        <v>0</v>
      </c>
      <c r="S105" s="6">
        <v>0</v>
      </c>
      <c r="T105" s="6">
        <v>42</v>
      </c>
      <c r="U105" s="6">
        <v>60</v>
      </c>
      <c r="V105" s="6">
        <f>IF(ISERROR(VLOOKUP($S$105,'TAR FIN'!$A$1:$O$85,15,0)),0,VLOOKUP($S$105,'TAR FIN'!$A$1:$O$85,15,0))</f>
        <v>0</v>
      </c>
      <c r="W105" s="6">
        <f>IF(ISERROR(VLOOKUP($T$105,'TAR FIN'!$A$1:$O$85,15,0)),0,VLOOKUP($T$105,'TAR FIN'!$A$1:$O$85,15,0))</f>
        <v>199.96</v>
      </c>
      <c r="X105" s="6">
        <f>IF(ISERROR(VLOOKUP($U$105,'TAR FIN'!$A$1:$O$85,15,0)),0,VLOOKUP($U$105,'TAR FIN'!$A$1:$O$85,15,0))</f>
        <v>279.45</v>
      </c>
      <c r="Y105" s="6"/>
      <c r="Z105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05" s="6">
        <f>('TE BE'!$AB$13+'TE BF'!$AB$13+'TE CVA'!$AB$13)*(1-CUSTOS!$M$36)</f>
        <v>199.61289492903279</v>
      </c>
      <c r="AB105" s="6">
        <f>$K$105*$V$105</f>
        <v>0</v>
      </c>
      <c r="AC105" s="6">
        <f>$M$105*$W$105</f>
        <v>21.19576</v>
      </c>
      <c r="AD105" s="6">
        <f>$O$105*$X$105</f>
        <v>29.621699999999997</v>
      </c>
      <c r="AE105" s="6">
        <f>$K$105*$Y$105</f>
        <v>0</v>
      </c>
      <c r="AF105" s="6">
        <f ca="1">$M$105*$Z$105</f>
        <v>20.422537101964704</v>
      </c>
      <c r="AG105" s="6">
        <f>$O$105*$AA$105</f>
        <v>21.158966862477474</v>
      </c>
    </row>
    <row r="106" spans="1:33" ht="11.25" customHeight="1" x14ac:dyDescent="0.3">
      <c r="A106" s="4" t="s">
        <v>21</v>
      </c>
      <c r="B106" s="4" t="s">
        <v>22</v>
      </c>
      <c r="C106" s="4" t="s">
        <v>23</v>
      </c>
      <c r="D106" s="4" t="s">
        <v>24</v>
      </c>
      <c r="E106" s="4" t="s">
        <v>29</v>
      </c>
      <c r="F106" s="4" t="s">
        <v>25</v>
      </c>
      <c r="G106" s="4" t="s">
        <v>25</v>
      </c>
      <c r="H106" s="4" t="s">
        <v>25</v>
      </c>
      <c r="I106" s="5">
        <v>44501</v>
      </c>
      <c r="J106" s="6">
        <v>0</v>
      </c>
      <c r="K106" s="6">
        <v>0</v>
      </c>
      <c r="L106" s="6">
        <v>0.215</v>
      </c>
      <c r="M106" s="6">
        <v>0.215</v>
      </c>
      <c r="N106" s="6">
        <v>0.215</v>
      </c>
      <c r="O106" s="6">
        <v>0.215</v>
      </c>
      <c r="P106" s="6">
        <v>3</v>
      </c>
      <c r="Q106" s="4" t="s">
        <v>26</v>
      </c>
      <c r="R106" s="4">
        <v>0</v>
      </c>
      <c r="S106" s="6">
        <v>0</v>
      </c>
      <c r="T106" s="6">
        <v>42</v>
      </c>
      <c r="U106" s="6">
        <v>60</v>
      </c>
      <c r="V106" s="6">
        <f>IF(ISERROR(VLOOKUP($S$106,'TAR FIN'!$A$1:$O$85,15,0)),0,VLOOKUP($S$106,'TAR FIN'!$A$1:$O$85,15,0))</f>
        <v>0</v>
      </c>
      <c r="W106" s="6">
        <f>IF(ISERROR(VLOOKUP($T$106,'TAR FIN'!$A$1:$O$85,15,0)),0,VLOOKUP($T$106,'TAR FIN'!$A$1:$O$85,15,0))</f>
        <v>199.96</v>
      </c>
      <c r="X106" s="6">
        <f>IF(ISERROR(VLOOKUP($U$106,'TAR FIN'!$A$1:$O$85,15,0)),0,VLOOKUP($U$106,'TAR FIN'!$A$1:$O$85,15,0))</f>
        <v>279.45</v>
      </c>
      <c r="Y106" s="6"/>
      <c r="Z106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06" s="6">
        <f>('TE BE'!$AB$13+'TE BF'!$AB$13+'TE CVA'!$AB$13)*(1-CUSTOS!$M$36)</f>
        <v>199.61289492903279</v>
      </c>
      <c r="AB106" s="6">
        <f>$K$106*$V$106</f>
        <v>0</v>
      </c>
      <c r="AC106" s="6">
        <f>$M$106*$W$106</f>
        <v>42.991399999999999</v>
      </c>
      <c r="AD106" s="6">
        <f>$O$106*$X$106</f>
        <v>60.08175</v>
      </c>
      <c r="AE106" s="6">
        <f>$K$106*$Y$106</f>
        <v>0</v>
      </c>
      <c r="AF106" s="6">
        <f ca="1">$M$106*$Z$106</f>
        <v>41.423070537003881</v>
      </c>
      <c r="AG106" s="6">
        <f>$O$106*$AA$106</f>
        <v>42.916772409742052</v>
      </c>
    </row>
    <row r="107" spans="1:33" ht="11.25" customHeight="1" x14ac:dyDescent="0.3">
      <c r="A107" s="4" t="s">
        <v>21</v>
      </c>
      <c r="B107" s="4" t="s">
        <v>22</v>
      </c>
      <c r="C107" s="4" t="s">
        <v>23</v>
      </c>
      <c r="D107" s="4" t="s">
        <v>24</v>
      </c>
      <c r="E107" s="4" t="s">
        <v>29</v>
      </c>
      <c r="F107" s="4" t="s">
        <v>25</v>
      </c>
      <c r="G107" s="4" t="s">
        <v>25</v>
      </c>
      <c r="H107" s="4" t="s">
        <v>25</v>
      </c>
      <c r="I107" s="5">
        <v>44531</v>
      </c>
      <c r="J107" s="6">
        <v>0</v>
      </c>
      <c r="K107" s="6">
        <v>0</v>
      </c>
      <c r="L107" s="6">
        <v>0.215</v>
      </c>
      <c r="M107" s="6">
        <v>0.215</v>
      </c>
      <c r="N107" s="6">
        <v>0.215</v>
      </c>
      <c r="O107" s="6">
        <v>0.215</v>
      </c>
      <c r="P107" s="6">
        <v>2</v>
      </c>
      <c r="Q107" s="4" t="s">
        <v>26</v>
      </c>
      <c r="R107" s="4">
        <v>0</v>
      </c>
      <c r="S107" s="6">
        <v>0</v>
      </c>
      <c r="T107" s="6">
        <v>42</v>
      </c>
      <c r="U107" s="6">
        <v>60</v>
      </c>
      <c r="V107" s="6">
        <f>IF(ISERROR(VLOOKUP($S$107,'TAR FIN'!$A$1:$O$85,15,0)),0,VLOOKUP($S$107,'TAR FIN'!$A$1:$O$85,15,0))</f>
        <v>0</v>
      </c>
      <c r="W107" s="6">
        <f>IF(ISERROR(VLOOKUP($T$107,'TAR FIN'!$A$1:$O$85,15,0)),0,VLOOKUP($T$107,'TAR FIN'!$A$1:$O$85,15,0))</f>
        <v>199.96</v>
      </c>
      <c r="X107" s="6">
        <f>IF(ISERROR(VLOOKUP($U$107,'TAR FIN'!$A$1:$O$85,15,0)),0,VLOOKUP($U$107,'TAR FIN'!$A$1:$O$85,15,0))</f>
        <v>279.45</v>
      </c>
      <c r="Y107" s="6"/>
      <c r="Z107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07" s="6">
        <f>('TE BE'!$AB$13+'TE BF'!$AB$13+'TE CVA'!$AB$13)*(1-CUSTOS!$M$36)</f>
        <v>199.61289492903279</v>
      </c>
      <c r="AB107" s="6">
        <f>$K$107*$V$107</f>
        <v>0</v>
      </c>
      <c r="AC107" s="6">
        <f>$M$107*$W$107</f>
        <v>42.991399999999999</v>
      </c>
      <c r="AD107" s="6">
        <f>$O$107*$X$107</f>
        <v>60.08175</v>
      </c>
      <c r="AE107" s="6">
        <f>$K$107*$Y$107</f>
        <v>0</v>
      </c>
      <c r="AF107" s="6">
        <f ca="1">$M$107*$Z$107</f>
        <v>41.423070537003881</v>
      </c>
      <c r="AG107" s="6">
        <f>$O$107*$AA$107</f>
        <v>42.916772409742052</v>
      </c>
    </row>
    <row r="108" spans="1:33" ht="11.25" customHeight="1" x14ac:dyDescent="0.3">
      <c r="A108" s="4" t="s">
        <v>21</v>
      </c>
      <c r="B108" s="4" t="s">
        <v>22</v>
      </c>
      <c r="C108" s="4" t="s">
        <v>23</v>
      </c>
      <c r="D108" s="4" t="s">
        <v>24</v>
      </c>
      <c r="E108" s="4" t="s">
        <v>29</v>
      </c>
      <c r="F108" s="4" t="s">
        <v>25</v>
      </c>
      <c r="G108" s="4" t="s">
        <v>25</v>
      </c>
      <c r="H108" s="4" t="s">
        <v>25</v>
      </c>
      <c r="I108" s="5">
        <v>44562</v>
      </c>
      <c r="J108" s="6">
        <v>0</v>
      </c>
      <c r="K108" s="6">
        <v>0</v>
      </c>
      <c r="L108" s="6">
        <v>0.29799999999999999</v>
      </c>
      <c r="M108" s="6">
        <v>0.29799999999999999</v>
      </c>
      <c r="N108" s="6">
        <v>0.29799999999999999</v>
      </c>
      <c r="O108" s="6">
        <v>0.29799999999999999</v>
      </c>
      <c r="P108" s="6">
        <v>1</v>
      </c>
      <c r="Q108" s="4" t="s">
        <v>26</v>
      </c>
      <c r="R108" s="4">
        <v>0</v>
      </c>
      <c r="S108" s="6">
        <v>0</v>
      </c>
      <c r="T108" s="6">
        <v>42</v>
      </c>
      <c r="U108" s="6">
        <v>60</v>
      </c>
      <c r="V108" s="6">
        <f>IF(ISERROR(VLOOKUP($S$108,'TAR FIN'!$A$1:$O$85,15,0)),0,VLOOKUP($S$108,'TAR FIN'!$A$1:$O$85,15,0))</f>
        <v>0</v>
      </c>
      <c r="W108" s="6">
        <f>IF(ISERROR(VLOOKUP($T$108,'TAR FIN'!$A$1:$O$85,15,0)),0,VLOOKUP($T$108,'TAR FIN'!$A$1:$O$85,15,0))</f>
        <v>199.96</v>
      </c>
      <c r="X108" s="6">
        <f>IF(ISERROR(VLOOKUP($U$108,'TAR FIN'!$A$1:$O$85,15,0)),0,VLOOKUP($U$108,'TAR FIN'!$A$1:$O$85,15,0))</f>
        <v>279.45</v>
      </c>
      <c r="Y108" s="6"/>
      <c r="Z108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08" s="6">
        <f>('TE BE'!$AB$13+'TE BF'!$AB$13+'TE CVA'!$AB$13)*(1-CUSTOS!$M$36)</f>
        <v>199.61289492903279</v>
      </c>
      <c r="AB108" s="6">
        <f>$K$108*$V$108</f>
        <v>0</v>
      </c>
      <c r="AC108" s="6">
        <f>$M$108*$W$108</f>
        <v>59.588079999999998</v>
      </c>
      <c r="AD108" s="6">
        <f>$O$108*$X$108</f>
        <v>83.2761</v>
      </c>
      <c r="AE108" s="6">
        <f>$K$108*$Y$108</f>
        <v>0</v>
      </c>
      <c r="AF108" s="6">
        <f ca="1">$M$108*$Z$108</f>
        <v>57.414302418730955</v>
      </c>
      <c r="AG108" s="6">
        <f>$O$108*$AA$108</f>
        <v>59.484642688851771</v>
      </c>
    </row>
    <row r="109" spans="1:33" ht="11.25" customHeight="1" x14ac:dyDescent="0.3">
      <c r="A109" s="4" t="s">
        <v>21</v>
      </c>
      <c r="B109" s="4" t="s">
        <v>22</v>
      </c>
      <c r="C109" s="4" t="s">
        <v>23</v>
      </c>
      <c r="D109" s="4" t="s">
        <v>24</v>
      </c>
      <c r="E109" s="4" t="s">
        <v>29</v>
      </c>
      <c r="F109" s="4" t="s">
        <v>25</v>
      </c>
      <c r="G109" s="4" t="s">
        <v>25</v>
      </c>
      <c r="H109" s="4" t="s">
        <v>25</v>
      </c>
      <c r="I109" s="5">
        <v>44593</v>
      </c>
      <c r="J109" s="6">
        <v>0</v>
      </c>
      <c r="K109" s="6">
        <v>0</v>
      </c>
      <c r="L109" s="6">
        <v>0.56499999999999995</v>
      </c>
      <c r="M109" s="6">
        <v>0.56499999999999995</v>
      </c>
      <c r="N109" s="6">
        <v>0.56499999999999995</v>
      </c>
      <c r="O109" s="6">
        <v>0.56499999999999995</v>
      </c>
      <c r="P109" s="6">
        <v>4</v>
      </c>
      <c r="Q109" s="4" t="s">
        <v>26</v>
      </c>
      <c r="R109" s="4">
        <v>0</v>
      </c>
      <c r="S109" s="6">
        <v>0</v>
      </c>
      <c r="T109" s="6">
        <v>42</v>
      </c>
      <c r="U109" s="6">
        <v>60</v>
      </c>
      <c r="V109" s="6">
        <f>IF(ISERROR(VLOOKUP($S$109,'TAR FIN'!$A$1:$O$85,15,0)),0,VLOOKUP($S$109,'TAR FIN'!$A$1:$O$85,15,0))</f>
        <v>0</v>
      </c>
      <c r="W109" s="6">
        <f>IF(ISERROR(VLOOKUP($T$109,'TAR FIN'!$A$1:$O$85,15,0)),0,VLOOKUP($T$109,'TAR FIN'!$A$1:$O$85,15,0))</f>
        <v>199.96</v>
      </c>
      <c r="X109" s="6">
        <f>IF(ISERROR(VLOOKUP($U$109,'TAR FIN'!$A$1:$O$85,15,0)),0,VLOOKUP($U$109,'TAR FIN'!$A$1:$O$85,15,0))</f>
        <v>279.45</v>
      </c>
      <c r="Y109" s="6"/>
      <c r="Z109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09" s="6">
        <f>('TE BE'!$AB$13+'TE BF'!$AB$13+'TE CVA'!$AB$13)*(1-CUSTOS!$M$36)</f>
        <v>199.61289492903279</v>
      </c>
      <c r="AB109" s="6">
        <f>$K$109*$V$109</f>
        <v>0</v>
      </c>
      <c r="AC109" s="6">
        <f>$M$109*$W$109</f>
        <v>112.97739999999999</v>
      </c>
      <c r="AD109" s="6">
        <f>$O$109*$X$109</f>
        <v>157.88924999999998</v>
      </c>
      <c r="AE109" s="6">
        <f>$K$109*$Y$109</f>
        <v>0</v>
      </c>
      <c r="AF109" s="6">
        <f ca="1">$M$109*$Z$109</f>
        <v>108.85597606235902</v>
      </c>
      <c r="AG109" s="6">
        <f>$O$109*$AA$109</f>
        <v>112.78128563490351</v>
      </c>
    </row>
    <row r="110" spans="1:33" ht="11.25" customHeight="1" x14ac:dyDescent="0.3">
      <c r="A110" s="4" t="s">
        <v>21</v>
      </c>
      <c r="B110" s="4" t="s">
        <v>22</v>
      </c>
      <c r="C110" s="4" t="s">
        <v>23</v>
      </c>
      <c r="D110" s="4" t="s">
        <v>24</v>
      </c>
      <c r="E110" s="4" t="s">
        <v>29</v>
      </c>
      <c r="F110" s="4" t="s">
        <v>25</v>
      </c>
      <c r="G110" s="4" t="s">
        <v>25</v>
      </c>
      <c r="H110" s="4" t="s">
        <v>25</v>
      </c>
      <c r="I110" s="5">
        <v>44621</v>
      </c>
      <c r="J110" s="6">
        <v>0</v>
      </c>
      <c r="K110" s="6">
        <v>0</v>
      </c>
      <c r="L110" s="6">
        <v>0.77600000000000002</v>
      </c>
      <c r="M110" s="6">
        <v>0.77600000000000002</v>
      </c>
      <c r="N110" s="6">
        <v>0.77600000000000002</v>
      </c>
      <c r="O110" s="6">
        <v>0.77600000000000002</v>
      </c>
      <c r="P110" s="6">
        <v>4</v>
      </c>
      <c r="Q110" s="4" t="s">
        <v>26</v>
      </c>
      <c r="R110" s="4">
        <v>0</v>
      </c>
      <c r="S110" s="6">
        <v>0</v>
      </c>
      <c r="T110" s="6">
        <v>42</v>
      </c>
      <c r="U110" s="6">
        <v>60</v>
      </c>
      <c r="V110" s="6">
        <f>IF(ISERROR(VLOOKUP($S$110,'TAR FIN'!$A$1:$O$85,15,0)),0,VLOOKUP($S$110,'TAR FIN'!$A$1:$O$85,15,0))</f>
        <v>0</v>
      </c>
      <c r="W110" s="6">
        <f>IF(ISERROR(VLOOKUP($T$110,'TAR FIN'!$A$1:$O$85,15,0)),0,VLOOKUP($T$110,'TAR FIN'!$A$1:$O$85,15,0))</f>
        <v>199.96</v>
      </c>
      <c r="X110" s="6">
        <f>IF(ISERROR(VLOOKUP($U$110,'TAR FIN'!$A$1:$O$85,15,0)),0,VLOOKUP($U$110,'TAR FIN'!$A$1:$O$85,15,0))</f>
        <v>279.45</v>
      </c>
      <c r="Y110" s="6"/>
      <c r="Z110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10" s="6">
        <f>('TE BE'!$AB$13+'TE BF'!$AB$13+'TE CVA'!$AB$13)*(1-CUSTOS!$M$36)</f>
        <v>199.61289492903279</v>
      </c>
      <c r="AB110" s="6">
        <f>$K$110*$V$110</f>
        <v>0</v>
      </c>
      <c r="AC110" s="6">
        <f>$M$110*$W$110</f>
        <v>155.16896</v>
      </c>
      <c r="AD110" s="6">
        <f>$O$110*$X$110</f>
        <v>216.85319999999999</v>
      </c>
      <c r="AE110" s="6">
        <f>$K$110*$Y$110</f>
        <v>0</v>
      </c>
      <c r="AF110" s="6">
        <f ca="1">$M$110*$Z$110</f>
        <v>149.50838482193029</v>
      </c>
      <c r="AG110" s="6">
        <f>$O$110*$AA$110</f>
        <v>154.89960646492946</v>
      </c>
    </row>
    <row r="111" spans="1:33" ht="11.25" customHeight="1" x14ac:dyDescent="0.3">
      <c r="A111" s="4" t="s">
        <v>21</v>
      </c>
      <c r="B111" s="4" t="s">
        <v>22</v>
      </c>
      <c r="C111" s="4" t="s">
        <v>23</v>
      </c>
      <c r="D111" s="4" t="s">
        <v>24</v>
      </c>
      <c r="E111" s="4" t="s">
        <v>29</v>
      </c>
      <c r="F111" s="4" t="s">
        <v>25</v>
      </c>
      <c r="G111" s="4" t="s">
        <v>25</v>
      </c>
      <c r="H111" s="4" t="s">
        <v>25</v>
      </c>
      <c r="I111" s="5">
        <v>44652</v>
      </c>
      <c r="J111" s="6">
        <v>0</v>
      </c>
      <c r="K111" s="6">
        <v>0</v>
      </c>
      <c r="L111" s="6">
        <v>0.66600000000000004</v>
      </c>
      <c r="M111" s="6">
        <v>0.66600000000000004</v>
      </c>
      <c r="N111" s="6">
        <v>0.66600000000000004</v>
      </c>
      <c r="O111" s="6">
        <v>0.66600000000000004</v>
      </c>
      <c r="P111" s="6">
        <v>5</v>
      </c>
      <c r="Q111" s="4" t="s">
        <v>26</v>
      </c>
      <c r="R111" s="4">
        <v>0</v>
      </c>
      <c r="S111" s="6">
        <v>0</v>
      </c>
      <c r="T111" s="6">
        <v>42</v>
      </c>
      <c r="U111" s="6">
        <v>60</v>
      </c>
      <c r="V111" s="6">
        <f>IF(ISERROR(VLOOKUP($S$111,'TAR FIN'!$A$1:$O$85,15,0)),0,VLOOKUP($S$111,'TAR FIN'!$A$1:$O$85,15,0))</f>
        <v>0</v>
      </c>
      <c r="W111" s="6">
        <f>IF(ISERROR(VLOOKUP($T$111,'TAR FIN'!$A$1:$O$85,15,0)),0,VLOOKUP($T$111,'TAR FIN'!$A$1:$O$85,15,0))</f>
        <v>199.96</v>
      </c>
      <c r="X111" s="6">
        <f>IF(ISERROR(VLOOKUP($U$111,'TAR FIN'!$A$1:$O$85,15,0)),0,VLOOKUP($U$111,'TAR FIN'!$A$1:$O$85,15,0))</f>
        <v>279.45</v>
      </c>
      <c r="Y111" s="6"/>
      <c r="Z111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11" s="6">
        <f>('TE BE'!$AB$13+'TE BF'!$AB$13+'TE CVA'!$AB$13)*(1-CUSTOS!$M$36)</f>
        <v>199.61289492903279</v>
      </c>
      <c r="AB111" s="6">
        <f>$K$111*$V$111</f>
        <v>0</v>
      </c>
      <c r="AC111" s="6">
        <f>$M$111*$W$111</f>
        <v>133.17336</v>
      </c>
      <c r="AD111" s="6">
        <f>$O$111*$X$111</f>
        <v>186.11369999999999</v>
      </c>
      <c r="AE111" s="6">
        <f>$K$111*$Y$111</f>
        <v>0</v>
      </c>
      <c r="AF111" s="6">
        <f ca="1">$M$111*$Z$111</f>
        <v>128.31518594253296</v>
      </c>
      <c r="AG111" s="6">
        <f>$O$111*$AA$111</f>
        <v>132.94218802273585</v>
      </c>
    </row>
    <row r="112" spans="1:33" ht="11.25" customHeight="1" x14ac:dyDescent="0.3">
      <c r="A112" s="4" t="s">
        <v>21</v>
      </c>
      <c r="B112" s="4" t="s">
        <v>22</v>
      </c>
      <c r="C112" s="4" t="s">
        <v>23</v>
      </c>
      <c r="D112" s="4" t="s">
        <v>24</v>
      </c>
      <c r="E112" s="4" t="s">
        <v>29</v>
      </c>
      <c r="F112" s="4" t="s">
        <v>25</v>
      </c>
      <c r="G112" s="4" t="s">
        <v>25</v>
      </c>
      <c r="H112" s="4" t="s">
        <v>25</v>
      </c>
      <c r="I112" s="5">
        <v>44682</v>
      </c>
      <c r="J112" s="6">
        <v>0</v>
      </c>
      <c r="K112" s="6">
        <v>0</v>
      </c>
      <c r="L112" s="6">
        <v>0.71099999999999997</v>
      </c>
      <c r="M112" s="6">
        <v>0.71099999999999997</v>
      </c>
      <c r="N112" s="6">
        <v>0.71099999999999997</v>
      </c>
      <c r="O112" s="6">
        <v>0.71099999999999997</v>
      </c>
      <c r="P112" s="6">
        <v>3</v>
      </c>
      <c r="Q112" s="4" t="s">
        <v>26</v>
      </c>
      <c r="R112" s="4">
        <v>0</v>
      </c>
      <c r="S112" s="6">
        <v>0</v>
      </c>
      <c r="T112" s="6">
        <v>42</v>
      </c>
      <c r="U112" s="6">
        <v>60</v>
      </c>
      <c r="V112" s="6">
        <f>IF(ISERROR(VLOOKUP($S$112,'TAR FIN'!$A$1:$O$85,15,0)),0,VLOOKUP($S$112,'TAR FIN'!$A$1:$O$85,15,0))</f>
        <v>0</v>
      </c>
      <c r="W112" s="6">
        <f>IF(ISERROR(VLOOKUP($T$112,'TAR FIN'!$A$1:$O$85,15,0)),0,VLOOKUP($T$112,'TAR FIN'!$A$1:$O$85,15,0))</f>
        <v>199.96</v>
      </c>
      <c r="X112" s="6">
        <f>IF(ISERROR(VLOOKUP($U$112,'TAR FIN'!$A$1:$O$85,15,0)),0,VLOOKUP($U$112,'TAR FIN'!$A$1:$O$85,15,0))</f>
        <v>279.45</v>
      </c>
      <c r="Y112" s="6"/>
      <c r="Z112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12" s="6">
        <f>('TE BE'!$AB$13+'TE BF'!$AB$13+'TE CVA'!$AB$13)*(1-CUSTOS!$M$36)</f>
        <v>199.61289492903279</v>
      </c>
      <c r="AB112" s="6">
        <f>$K$112*$V$112</f>
        <v>0</v>
      </c>
      <c r="AC112" s="6">
        <f>$M$112*$W$112</f>
        <v>142.17156</v>
      </c>
      <c r="AD112" s="6">
        <f>$O$112*$X$112</f>
        <v>198.68894999999998</v>
      </c>
      <c r="AE112" s="6">
        <f>$K$112*$Y$112</f>
        <v>0</v>
      </c>
      <c r="AF112" s="6">
        <f ca="1">$M$112*$Z$112</f>
        <v>136.98513093865003</v>
      </c>
      <c r="AG112" s="6">
        <f>$O$112*$AA$112</f>
        <v>141.9247682945423</v>
      </c>
    </row>
    <row r="113" spans="1:33" ht="11.25" customHeight="1" x14ac:dyDescent="0.3">
      <c r="A113" s="4" t="s">
        <v>21</v>
      </c>
      <c r="B113" s="4" t="s">
        <v>22</v>
      </c>
      <c r="C113" s="4" t="s">
        <v>23</v>
      </c>
      <c r="D113" s="4" t="s">
        <v>24</v>
      </c>
      <c r="E113" s="4" t="s">
        <v>29</v>
      </c>
      <c r="F113" s="4" t="s">
        <v>25</v>
      </c>
      <c r="G113" s="4" t="s">
        <v>25</v>
      </c>
      <c r="H113" s="4" t="s">
        <v>25</v>
      </c>
      <c r="I113" s="5">
        <v>44713</v>
      </c>
      <c r="J113" s="6">
        <v>0</v>
      </c>
      <c r="K113" s="6">
        <v>0</v>
      </c>
      <c r="L113" s="6">
        <v>0.69599999999999995</v>
      </c>
      <c r="M113" s="6">
        <v>0.69599999999999995</v>
      </c>
      <c r="N113" s="6">
        <v>0.69599999999999995</v>
      </c>
      <c r="O113" s="6">
        <v>0.69599999999999995</v>
      </c>
      <c r="P113" s="6">
        <v>2</v>
      </c>
      <c r="Q113" s="4" t="s">
        <v>26</v>
      </c>
      <c r="R113" s="4">
        <v>0</v>
      </c>
      <c r="S113" s="6">
        <v>0</v>
      </c>
      <c r="T113" s="6">
        <v>42</v>
      </c>
      <c r="U113" s="6">
        <v>60</v>
      </c>
      <c r="V113" s="6">
        <f>IF(ISERROR(VLOOKUP($S$113,'TAR FIN'!$A$1:$O$85,15,0)),0,VLOOKUP($S$113,'TAR FIN'!$A$1:$O$85,15,0))</f>
        <v>0</v>
      </c>
      <c r="W113" s="6">
        <f>IF(ISERROR(VLOOKUP($T$113,'TAR FIN'!$A$1:$O$85,15,0)),0,VLOOKUP($T$113,'TAR FIN'!$A$1:$O$85,15,0))</f>
        <v>199.96</v>
      </c>
      <c r="X113" s="6">
        <f>IF(ISERROR(VLOOKUP($U$113,'TAR FIN'!$A$1:$O$85,15,0)),0,VLOOKUP($U$113,'TAR FIN'!$A$1:$O$85,15,0))</f>
        <v>279.45</v>
      </c>
      <c r="Y113" s="6"/>
      <c r="Z113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13" s="6">
        <f>('TE BE'!$AB$13+'TE BF'!$AB$13+'TE CVA'!$AB$13)*(1-CUSTOS!$M$36)</f>
        <v>199.61289492903279</v>
      </c>
      <c r="AB113" s="6">
        <f>$K$113*$V$113</f>
        <v>0</v>
      </c>
      <c r="AC113" s="6">
        <f>$M$113*$W$113</f>
        <v>139.17215999999999</v>
      </c>
      <c r="AD113" s="6">
        <f>$O$113*$X$113</f>
        <v>194.49719999999999</v>
      </c>
      <c r="AE113" s="6">
        <f>$K$113*$Y$113</f>
        <v>0</v>
      </c>
      <c r="AF113" s="6">
        <f ca="1">$M$113*$Z$113</f>
        <v>134.09514927327766</v>
      </c>
      <c r="AG113" s="6">
        <f>$O$113*$AA$113</f>
        <v>138.93057487060682</v>
      </c>
    </row>
    <row r="114" spans="1:33" ht="11.25" customHeight="1" x14ac:dyDescent="0.3">
      <c r="A114" s="4" t="s">
        <v>21</v>
      </c>
      <c r="B114" s="4" t="s">
        <v>22</v>
      </c>
      <c r="C114" s="4" t="s">
        <v>23</v>
      </c>
      <c r="D114" s="4" t="s">
        <v>24</v>
      </c>
      <c r="E114" s="4" t="s">
        <v>29</v>
      </c>
      <c r="F114" s="4" t="s">
        <v>25</v>
      </c>
      <c r="G114" s="4" t="s">
        <v>25</v>
      </c>
      <c r="H114" s="4" t="s">
        <v>25</v>
      </c>
      <c r="I114" s="5">
        <v>44743</v>
      </c>
      <c r="J114" s="6">
        <v>0</v>
      </c>
      <c r="K114" s="6">
        <v>0</v>
      </c>
      <c r="L114" s="6">
        <v>0.7</v>
      </c>
      <c r="M114" s="6">
        <v>0.7</v>
      </c>
      <c r="N114" s="6">
        <v>0.7</v>
      </c>
      <c r="O114" s="6">
        <v>0.7</v>
      </c>
      <c r="P114" s="6">
        <v>2</v>
      </c>
      <c r="Q114" s="4" t="s">
        <v>26</v>
      </c>
      <c r="R114" s="4">
        <v>0</v>
      </c>
      <c r="S114" s="6">
        <v>0</v>
      </c>
      <c r="T114" s="6">
        <v>42</v>
      </c>
      <c r="U114" s="6">
        <v>60</v>
      </c>
      <c r="V114" s="6">
        <f>IF(ISERROR(VLOOKUP($S$114,'TAR FIN'!$A$1:$O$85,15,0)),0,VLOOKUP($S$114,'TAR FIN'!$A$1:$O$85,15,0))</f>
        <v>0</v>
      </c>
      <c r="W114" s="6">
        <f>IF(ISERROR(VLOOKUP($T$114,'TAR FIN'!$A$1:$O$85,15,0)),0,VLOOKUP($T$114,'TAR FIN'!$A$1:$O$85,15,0))</f>
        <v>199.96</v>
      </c>
      <c r="X114" s="6">
        <f>IF(ISERROR(VLOOKUP($U$114,'TAR FIN'!$A$1:$O$85,15,0)),0,VLOOKUP($U$114,'TAR FIN'!$A$1:$O$85,15,0))</f>
        <v>279.45</v>
      </c>
      <c r="Y114" s="6"/>
      <c r="Z114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14" s="6">
        <f>('TE BE'!$AB$13+'TE BF'!$AB$13+'TE CVA'!$AB$13)*(1-CUSTOS!$M$36)</f>
        <v>199.61289492903279</v>
      </c>
      <c r="AB114" s="6">
        <f>$K$114*$V$114</f>
        <v>0</v>
      </c>
      <c r="AC114" s="6">
        <f>$M$114*$W$114</f>
        <v>139.97200000000001</v>
      </c>
      <c r="AD114" s="6">
        <f>$O$114*$X$114</f>
        <v>195.61499999999998</v>
      </c>
      <c r="AE114" s="6">
        <f>$K$114*$Y$114</f>
        <v>0</v>
      </c>
      <c r="AF114" s="6">
        <f ca="1">$M$114*$Z$114</f>
        <v>134.86581105071028</v>
      </c>
      <c r="AG114" s="6">
        <f>$O$114*$AA$114</f>
        <v>139.72902645032295</v>
      </c>
    </row>
    <row r="115" spans="1:33" ht="11.25" customHeight="1" x14ac:dyDescent="0.3">
      <c r="A115" s="4" t="s">
        <v>21</v>
      </c>
      <c r="B115" s="4" t="s">
        <v>22</v>
      </c>
      <c r="C115" s="4" t="s">
        <v>23</v>
      </c>
      <c r="D115" s="4" t="s">
        <v>24</v>
      </c>
      <c r="E115" s="4" t="s">
        <v>29</v>
      </c>
      <c r="F115" s="4" t="s">
        <v>25</v>
      </c>
      <c r="G115" s="4" t="s">
        <v>25</v>
      </c>
      <c r="H115" s="4" t="s">
        <v>25</v>
      </c>
      <c r="I115" s="5">
        <v>44774</v>
      </c>
      <c r="J115" s="6">
        <v>0</v>
      </c>
      <c r="K115" s="6">
        <v>0</v>
      </c>
      <c r="L115" s="6">
        <v>0.72499999999999998</v>
      </c>
      <c r="M115" s="6">
        <v>0.72499999999999998</v>
      </c>
      <c r="N115" s="6">
        <v>0.72499999999999998</v>
      </c>
      <c r="O115" s="6">
        <v>0.72499999999999998</v>
      </c>
      <c r="P115" s="6">
        <v>1</v>
      </c>
      <c r="Q115" s="4" t="s">
        <v>26</v>
      </c>
      <c r="R115" s="4">
        <v>0</v>
      </c>
      <c r="S115" s="6">
        <v>0</v>
      </c>
      <c r="T115" s="6">
        <v>42</v>
      </c>
      <c r="U115" s="6">
        <v>60</v>
      </c>
      <c r="V115" s="6">
        <f>IF(ISERROR(VLOOKUP($S$115,'TAR FIN'!$A$1:$O$85,15,0)),0,VLOOKUP($S$115,'TAR FIN'!$A$1:$O$85,15,0))</f>
        <v>0</v>
      </c>
      <c r="W115" s="6">
        <f>IF(ISERROR(VLOOKUP($T$115,'TAR FIN'!$A$1:$O$85,15,0)),0,VLOOKUP($T$115,'TAR FIN'!$A$1:$O$85,15,0))</f>
        <v>199.96</v>
      </c>
      <c r="X115" s="6">
        <f>IF(ISERROR(VLOOKUP($U$115,'TAR FIN'!$A$1:$O$85,15,0)),0,VLOOKUP($U$115,'TAR FIN'!$A$1:$O$85,15,0))</f>
        <v>279.45</v>
      </c>
      <c r="Y115" s="6"/>
      <c r="Z115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115" s="6">
        <f>('TE BE'!$AB$13+'TE BF'!$AB$13+'TE CVA'!$AB$13)*(1-CUSTOS!$M$36)</f>
        <v>199.61289492903279</v>
      </c>
      <c r="AB115" s="6">
        <f>$K$115*$V$115</f>
        <v>0</v>
      </c>
      <c r="AC115" s="6">
        <f>$M$115*$W$115</f>
        <v>144.971</v>
      </c>
      <c r="AD115" s="6">
        <f>$O$115*$X$115</f>
        <v>202.60124999999999</v>
      </c>
      <c r="AE115" s="6">
        <f>$K$115*$Y$115</f>
        <v>0</v>
      </c>
      <c r="AF115" s="6">
        <f ca="1">$M$115*$Z$115</f>
        <v>139.68244715966424</v>
      </c>
      <c r="AG115" s="6">
        <f>$O$115*$AA$115</f>
        <v>144.71934882354876</v>
      </c>
    </row>
    <row r="116" spans="1:33" ht="11.25" customHeight="1" x14ac:dyDescent="0.3">
      <c r="A116" s="4" t="s">
        <v>21</v>
      </c>
      <c r="B116" s="4" t="s">
        <v>22</v>
      </c>
      <c r="C116" s="4" t="s">
        <v>23</v>
      </c>
      <c r="D116" s="4" t="s">
        <v>24</v>
      </c>
      <c r="E116" s="4" t="s">
        <v>30</v>
      </c>
      <c r="F116" s="4" t="s">
        <v>25</v>
      </c>
      <c r="G116" s="4" t="s">
        <v>25</v>
      </c>
      <c r="H116" s="4" t="s">
        <v>25</v>
      </c>
      <c r="I116" s="5">
        <v>44440</v>
      </c>
      <c r="J116" s="6">
        <v>0</v>
      </c>
      <c r="K116" s="6">
        <v>0</v>
      </c>
      <c r="L116" s="6">
        <v>6.0000000000000001E-3</v>
      </c>
      <c r="M116" s="6">
        <v>6.0000000000000001E-3</v>
      </c>
      <c r="N116" s="6">
        <v>6.0000000000000001E-3</v>
      </c>
      <c r="O116" s="6">
        <v>6.0000000000000001E-3</v>
      </c>
      <c r="P116" s="6">
        <v>1</v>
      </c>
      <c r="Q116" s="4" t="s">
        <v>26</v>
      </c>
      <c r="R116" s="4">
        <v>0</v>
      </c>
      <c r="S116" s="6">
        <v>0</v>
      </c>
      <c r="T116" s="6">
        <v>22</v>
      </c>
      <c r="U116" s="6">
        <v>61</v>
      </c>
      <c r="V116" s="6">
        <f>IF(ISERROR(VLOOKUP($S$116,'TAR FIN'!$A$1:$O$85,15,0)),0,VLOOKUP($S$116,'TAR FIN'!$A$1:$O$85,15,0))</f>
        <v>0</v>
      </c>
      <c r="W116" s="6">
        <f>IF(ISERROR(VLOOKUP($T$116,'TAR FIN'!$A$1:$O$85,15,0)),0,VLOOKUP($T$116,'TAR FIN'!$A$1:$O$85,15,0))</f>
        <v>222.18</v>
      </c>
      <c r="X116" s="6">
        <f>IF(ISERROR(VLOOKUP($U$116,'TAR FIN'!$A$1:$O$85,15,0)),0,VLOOKUP($U$116,'TAR FIN'!$A$1:$O$85,15,0))</f>
        <v>310.5</v>
      </c>
      <c r="Y116" s="6"/>
      <c r="Z116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16" s="6">
        <f>('TE BE'!$AB$14+'TE BF'!$AB$14+'TE CVA'!$AB$14)*(1-CUSTOS!$M$37)</f>
        <v>221.79210547670309</v>
      </c>
      <c r="AB116" s="6">
        <f>$K$116*$V$116</f>
        <v>0</v>
      </c>
      <c r="AC116" s="6">
        <f>$M$116*$W$116</f>
        <v>1.33308</v>
      </c>
      <c r="AD116" s="6">
        <f>$O$116*$X$116</f>
        <v>1.863</v>
      </c>
      <c r="AE116" s="6">
        <f>$K$116*$Y$116</f>
        <v>0</v>
      </c>
      <c r="AF116" s="6">
        <f ca="1">$M$116*$Z$116</f>
        <v>1.2844362957210504</v>
      </c>
      <c r="AG116" s="6">
        <f>$O$116*$AA$116</f>
        <v>1.3307526328602186</v>
      </c>
    </row>
    <row r="117" spans="1:33" ht="11.25" customHeight="1" x14ac:dyDescent="0.3">
      <c r="A117" s="4" t="s">
        <v>21</v>
      </c>
      <c r="B117" s="4" t="s">
        <v>22</v>
      </c>
      <c r="C117" s="4" t="s">
        <v>23</v>
      </c>
      <c r="D117" s="4" t="s">
        <v>24</v>
      </c>
      <c r="E117" s="4" t="s">
        <v>30</v>
      </c>
      <c r="F117" s="4" t="s">
        <v>25</v>
      </c>
      <c r="G117" s="4" t="s">
        <v>25</v>
      </c>
      <c r="H117" s="4" t="s">
        <v>25</v>
      </c>
      <c r="I117" s="5">
        <v>44531</v>
      </c>
      <c r="J117" s="6">
        <v>0</v>
      </c>
      <c r="K117" s="6">
        <v>0</v>
      </c>
      <c r="L117" s="6">
        <v>1.2999999999999999E-2</v>
      </c>
      <c r="M117" s="6">
        <v>1.2999999999999999E-2</v>
      </c>
      <c r="N117" s="6">
        <v>1.2999999999999999E-2</v>
      </c>
      <c r="O117" s="6">
        <v>1.2999999999999999E-2</v>
      </c>
      <c r="P117" s="6">
        <v>1</v>
      </c>
      <c r="Q117" s="4" t="s">
        <v>26</v>
      </c>
      <c r="R117" s="4">
        <v>0</v>
      </c>
      <c r="S117" s="6">
        <v>0</v>
      </c>
      <c r="T117" s="6">
        <v>22</v>
      </c>
      <c r="U117" s="6">
        <v>61</v>
      </c>
      <c r="V117" s="6">
        <f>IF(ISERROR(VLOOKUP($S$117,'TAR FIN'!$A$1:$O$85,15,0)),0,VLOOKUP($S$117,'TAR FIN'!$A$1:$O$85,15,0))</f>
        <v>0</v>
      </c>
      <c r="W117" s="6">
        <f>IF(ISERROR(VLOOKUP($T$117,'TAR FIN'!$A$1:$O$85,15,0)),0,VLOOKUP($T$117,'TAR FIN'!$A$1:$O$85,15,0))</f>
        <v>222.18</v>
      </c>
      <c r="X117" s="6">
        <f>IF(ISERROR(VLOOKUP($U$117,'TAR FIN'!$A$1:$O$85,15,0)),0,VLOOKUP($U$117,'TAR FIN'!$A$1:$O$85,15,0))</f>
        <v>310.5</v>
      </c>
      <c r="Y117" s="6"/>
      <c r="Z117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17" s="6">
        <f>('TE BE'!$AB$14+'TE BF'!$AB$14+'TE CVA'!$AB$14)*(1-CUSTOS!$M$37)</f>
        <v>221.79210547670309</v>
      </c>
      <c r="AB117" s="6">
        <f>$K$117*$V$117</f>
        <v>0</v>
      </c>
      <c r="AC117" s="6">
        <f>$M$117*$W$117</f>
        <v>2.8883399999999999</v>
      </c>
      <c r="AD117" s="6">
        <f>$O$117*$X$117</f>
        <v>4.0365000000000002</v>
      </c>
      <c r="AE117" s="6">
        <f>$K$117*$Y$117</f>
        <v>0</v>
      </c>
      <c r="AF117" s="6">
        <f ca="1">$M$117*$Z$117</f>
        <v>2.7829453073956092</v>
      </c>
      <c r="AG117" s="6">
        <f>$O$117*$AA$117</f>
        <v>2.8832973711971399</v>
      </c>
    </row>
    <row r="118" spans="1:33" ht="11.25" customHeight="1" x14ac:dyDescent="0.3">
      <c r="A118" s="4" t="s">
        <v>21</v>
      </c>
      <c r="B118" s="4" t="s">
        <v>22</v>
      </c>
      <c r="C118" s="4" t="s">
        <v>23</v>
      </c>
      <c r="D118" s="4" t="s">
        <v>24</v>
      </c>
      <c r="E118" s="4" t="s">
        <v>30</v>
      </c>
      <c r="F118" s="4" t="s">
        <v>25</v>
      </c>
      <c r="G118" s="4" t="s">
        <v>25</v>
      </c>
      <c r="H118" s="4" t="s">
        <v>25</v>
      </c>
      <c r="I118" s="5">
        <v>44562</v>
      </c>
      <c r="J118" s="6">
        <v>0</v>
      </c>
      <c r="K118" s="6">
        <v>0</v>
      </c>
      <c r="L118" s="6">
        <v>5.6000000000000001E-2</v>
      </c>
      <c r="M118" s="6">
        <v>5.6000000000000001E-2</v>
      </c>
      <c r="N118" s="6">
        <v>5.6000000000000001E-2</v>
      </c>
      <c r="O118" s="6">
        <v>5.6000000000000001E-2</v>
      </c>
      <c r="P118" s="6">
        <v>2</v>
      </c>
      <c r="Q118" s="4" t="s">
        <v>26</v>
      </c>
      <c r="R118" s="4">
        <v>0</v>
      </c>
      <c r="S118" s="6">
        <v>0</v>
      </c>
      <c r="T118" s="6">
        <v>22</v>
      </c>
      <c r="U118" s="6">
        <v>61</v>
      </c>
      <c r="V118" s="6">
        <f>IF(ISERROR(VLOOKUP($S$118,'TAR FIN'!$A$1:$O$85,15,0)),0,VLOOKUP($S$118,'TAR FIN'!$A$1:$O$85,15,0))</f>
        <v>0</v>
      </c>
      <c r="W118" s="6">
        <f>IF(ISERROR(VLOOKUP($T$118,'TAR FIN'!$A$1:$O$85,15,0)),0,VLOOKUP($T$118,'TAR FIN'!$A$1:$O$85,15,0))</f>
        <v>222.18</v>
      </c>
      <c r="X118" s="6">
        <f>IF(ISERROR(VLOOKUP($U$118,'TAR FIN'!$A$1:$O$85,15,0)),0,VLOOKUP($U$118,'TAR FIN'!$A$1:$O$85,15,0))</f>
        <v>310.5</v>
      </c>
      <c r="Y118" s="6"/>
      <c r="Z118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18" s="6">
        <f>('TE BE'!$AB$14+'TE BF'!$AB$14+'TE CVA'!$AB$14)*(1-CUSTOS!$M$37)</f>
        <v>221.79210547670309</v>
      </c>
      <c r="AB118" s="6">
        <f>$K$118*$V$118</f>
        <v>0</v>
      </c>
      <c r="AC118" s="6">
        <f>$M$118*$W$118</f>
        <v>12.442080000000001</v>
      </c>
      <c r="AD118" s="6">
        <f>$O$118*$X$118</f>
        <v>17.388000000000002</v>
      </c>
      <c r="AE118" s="6">
        <f>$K$118*$Y$118</f>
        <v>0</v>
      </c>
      <c r="AF118" s="6">
        <f ca="1">$M$118*$Z$118</f>
        <v>11.988072093396472</v>
      </c>
      <c r="AG118" s="6">
        <f>$O$118*$AA$118</f>
        <v>12.420357906695372</v>
      </c>
    </row>
    <row r="119" spans="1:33" ht="11.25" customHeight="1" x14ac:dyDescent="0.3">
      <c r="A119" s="4" t="s">
        <v>21</v>
      </c>
      <c r="B119" s="4" t="s">
        <v>22</v>
      </c>
      <c r="C119" s="4" t="s">
        <v>23</v>
      </c>
      <c r="D119" s="4" t="s">
        <v>24</v>
      </c>
      <c r="E119" s="4" t="s">
        <v>30</v>
      </c>
      <c r="F119" s="4" t="s">
        <v>25</v>
      </c>
      <c r="G119" s="4" t="s">
        <v>25</v>
      </c>
      <c r="H119" s="4" t="s">
        <v>25</v>
      </c>
      <c r="I119" s="5">
        <v>44593</v>
      </c>
      <c r="J119" s="6">
        <v>0</v>
      </c>
      <c r="K119" s="6">
        <v>0</v>
      </c>
      <c r="L119" s="6">
        <v>0.249</v>
      </c>
      <c r="M119" s="6">
        <v>0.249</v>
      </c>
      <c r="N119" s="6">
        <v>0.249</v>
      </c>
      <c r="O119" s="6">
        <v>0.249</v>
      </c>
      <c r="P119" s="6">
        <v>2</v>
      </c>
      <c r="Q119" s="4" t="s">
        <v>26</v>
      </c>
      <c r="R119" s="4">
        <v>0</v>
      </c>
      <c r="S119" s="6">
        <v>0</v>
      </c>
      <c r="T119" s="6">
        <v>22</v>
      </c>
      <c r="U119" s="6">
        <v>61</v>
      </c>
      <c r="V119" s="6">
        <f>IF(ISERROR(VLOOKUP($S$119,'TAR FIN'!$A$1:$O$85,15,0)),0,VLOOKUP($S$119,'TAR FIN'!$A$1:$O$85,15,0))</f>
        <v>0</v>
      </c>
      <c r="W119" s="6">
        <f>IF(ISERROR(VLOOKUP($T$119,'TAR FIN'!$A$1:$O$85,15,0)),0,VLOOKUP($T$119,'TAR FIN'!$A$1:$O$85,15,0))</f>
        <v>222.18</v>
      </c>
      <c r="X119" s="6">
        <f>IF(ISERROR(VLOOKUP($U$119,'TAR FIN'!$A$1:$O$85,15,0)),0,VLOOKUP($U$119,'TAR FIN'!$A$1:$O$85,15,0))</f>
        <v>310.5</v>
      </c>
      <c r="Y119" s="6"/>
      <c r="Z119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19" s="6">
        <f>('TE BE'!$AB$14+'TE BF'!$AB$14+'TE CVA'!$AB$14)*(1-CUSTOS!$M$37)</f>
        <v>221.79210547670309</v>
      </c>
      <c r="AB119" s="6">
        <f>$K$119*$V$119</f>
        <v>0</v>
      </c>
      <c r="AC119" s="6">
        <f>$M$119*$W$119</f>
        <v>55.32282</v>
      </c>
      <c r="AD119" s="6">
        <f>$O$119*$X$119</f>
        <v>77.314499999999995</v>
      </c>
      <c r="AE119" s="6">
        <f>$K$119*$Y$119</f>
        <v>0</v>
      </c>
      <c r="AF119" s="6">
        <f ca="1">$M$119*$Z$119</f>
        <v>53.304106272423596</v>
      </c>
      <c r="AG119" s="6">
        <f>$O$119*$AA$119</f>
        <v>55.22623426369907</v>
      </c>
    </row>
    <row r="120" spans="1:33" ht="11.25" customHeight="1" x14ac:dyDescent="0.3">
      <c r="A120" s="4" t="s">
        <v>21</v>
      </c>
      <c r="B120" s="4" t="s">
        <v>22</v>
      </c>
      <c r="C120" s="4" t="s">
        <v>23</v>
      </c>
      <c r="D120" s="4" t="s">
        <v>24</v>
      </c>
      <c r="E120" s="4" t="s">
        <v>30</v>
      </c>
      <c r="F120" s="4" t="s">
        <v>25</v>
      </c>
      <c r="G120" s="4" t="s">
        <v>25</v>
      </c>
      <c r="H120" s="4" t="s">
        <v>25</v>
      </c>
      <c r="I120" s="5">
        <v>44621</v>
      </c>
      <c r="J120" s="6">
        <v>0</v>
      </c>
      <c r="K120" s="6">
        <v>0</v>
      </c>
      <c r="L120" s="6">
        <v>0.17799999999999999</v>
      </c>
      <c r="M120" s="6">
        <v>0.17799999999999999</v>
      </c>
      <c r="N120" s="6">
        <v>0.17799999999999999</v>
      </c>
      <c r="O120" s="6">
        <v>0.17799999999999999</v>
      </c>
      <c r="P120" s="6">
        <v>4</v>
      </c>
      <c r="Q120" s="4" t="s">
        <v>26</v>
      </c>
      <c r="R120" s="4">
        <v>0</v>
      </c>
      <c r="S120" s="6">
        <v>0</v>
      </c>
      <c r="T120" s="6">
        <v>22</v>
      </c>
      <c r="U120" s="6">
        <v>61</v>
      </c>
      <c r="V120" s="6">
        <f>IF(ISERROR(VLOOKUP($S$120,'TAR FIN'!$A$1:$O$85,15,0)),0,VLOOKUP($S$120,'TAR FIN'!$A$1:$O$85,15,0))</f>
        <v>0</v>
      </c>
      <c r="W120" s="6">
        <f>IF(ISERROR(VLOOKUP($T$120,'TAR FIN'!$A$1:$O$85,15,0)),0,VLOOKUP($T$120,'TAR FIN'!$A$1:$O$85,15,0))</f>
        <v>222.18</v>
      </c>
      <c r="X120" s="6">
        <f>IF(ISERROR(VLOOKUP($U$120,'TAR FIN'!$A$1:$O$85,15,0)),0,VLOOKUP($U$120,'TAR FIN'!$A$1:$O$85,15,0))</f>
        <v>310.5</v>
      </c>
      <c r="Y120" s="6"/>
      <c r="Z120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20" s="6">
        <f>('TE BE'!$AB$14+'TE BF'!$AB$14+'TE CVA'!$AB$14)*(1-CUSTOS!$M$37)</f>
        <v>221.79210547670309</v>
      </c>
      <c r="AB120" s="6">
        <f>$K$120*$V$120</f>
        <v>0</v>
      </c>
      <c r="AC120" s="6">
        <f>$M$120*$W$120</f>
        <v>39.54804</v>
      </c>
      <c r="AD120" s="6">
        <f>$O$120*$X$120</f>
        <v>55.268999999999998</v>
      </c>
      <c r="AE120" s="6">
        <f>$K$120*$Y$120</f>
        <v>0</v>
      </c>
      <c r="AF120" s="6">
        <f ca="1">$M$120*$Z$120</f>
        <v>38.104943439724494</v>
      </c>
      <c r="AG120" s="6">
        <f>$O$120*$AA$120</f>
        <v>39.478994774853149</v>
      </c>
    </row>
    <row r="121" spans="1:33" ht="11.25" customHeight="1" x14ac:dyDescent="0.3">
      <c r="A121" s="4" t="s">
        <v>21</v>
      </c>
      <c r="B121" s="4" t="s">
        <v>22</v>
      </c>
      <c r="C121" s="4" t="s">
        <v>23</v>
      </c>
      <c r="D121" s="4" t="s">
        <v>24</v>
      </c>
      <c r="E121" s="4" t="s">
        <v>30</v>
      </c>
      <c r="F121" s="4" t="s">
        <v>25</v>
      </c>
      <c r="G121" s="4" t="s">
        <v>25</v>
      </c>
      <c r="H121" s="4" t="s">
        <v>25</v>
      </c>
      <c r="I121" s="5">
        <v>44652</v>
      </c>
      <c r="J121" s="6">
        <v>0</v>
      </c>
      <c r="K121" s="6">
        <v>0</v>
      </c>
      <c r="L121" s="6">
        <v>0.13900000000000001</v>
      </c>
      <c r="M121" s="6">
        <v>0.13900000000000001</v>
      </c>
      <c r="N121" s="6">
        <v>0.13900000000000001</v>
      </c>
      <c r="O121" s="6">
        <v>0.13900000000000001</v>
      </c>
      <c r="P121" s="6">
        <v>2</v>
      </c>
      <c r="Q121" s="4" t="s">
        <v>26</v>
      </c>
      <c r="R121" s="4">
        <v>0</v>
      </c>
      <c r="S121" s="6">
        <v>0</v>
      </c>
      <c r="T121" s="6">
        <v>22</v>
      </c>
      <c r="U121" s="6">
        <v>61</v>
      </c>
      <c r="V121" s="6">
        <f>IF(ISERROR(VLOOKUP($S$121,'TAR FIN'!$A$1:$O$85,15,0)),0,VLOOKUP($S$121,'TAR FIN'!$A$1:$O$85,15,0))</f>
        <v>0</v>
      </c>
      <c r="W121" s="6">
        <f>IF(ISERROR(VLOOKUP($T$121,'TAR FIN'!$A$1:$O$85,15,0)),0,VLOOKUP($T$121,'TAR FIN'!$A$1:$O$85,15,0))</f>
        <v>222.18</v>
      </c>
      <c r="X121" s="6">
        <f>IF(ISERROR(VLOOKUP($U$121,'TAR FIN'!$A$1:$O$85,15,0)),0,VLOOKUP($U$121,'TAR FIN'!$A$1:$O$85,15,0))</f>
        <v>310.5</v>
      </c>
      <c r="Y121" s="6"/>
      <c r="Z121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21" s="6">
        <f>('TE BE'!$AB$14+'TE BF'!$AB$14+'TE CVA'!$AB$14)*(1-CUSTOS!$M$37)</f>
        <v>221.79210547670309</v>
      </c>
      <c r="AB121" s="6">
        <f>$K$121*$V$121</f>
        <v>0</v>
      </c>
      <c r="AC121" s="6">
        <f>$M$121*$W$121</f>
        <v>30.883020000000005</v>
      </c>
      <c r="AD121" s="6">
        <f>$O$121*$X$121</f>
        <v>43.159500000000001</v>
      </c>
      <c r="AE121" s="6">
        <f>$K$121*$Y$121</f>
        <v>0</v>
      </c>
      <c r="AF121" s="6">
        <f ca="1">$M$121*$Z$121</f>
        <v>29.756107517537671</v>
      </c>
      <c r="AG121" s="6">
        <f>$O$121*$AA$121</f>
        <v>30.829102661261732</v>
      </c>
    </row>
    <row r="122" spans="1:33" ht="11.25" customHeight="1" x14ac:dyDescent="0.3">
      <c r="A122" s="4" t="s">
        <v>21</v>
      </c>
      <c r="B122" s="4" t="s">
        <v>22</v>
      </c>
      <c r="C122" s="4" t="s">
        <v>23</v>
      </c>
      <c r="D122" s="4" t="s">
        <v>24</v>
      </c>
      <c r="E122" s="4" t="s">
        <v>30</v>
      </c>
      <c r="F122" s="4" t="s">
        <v>25</v>
      </c>
      <c r="G122" s="4" t="s">
        <v>25</v>
      </c>
      <c r="H122" s="4" t="s">
        <v>25</v>
      </c>
      <c r="I122" s="5">
        <v>44682</v>
      </c>
      <c r="J122" s="6">
        <v>0</v>
      </c>
      <c r="K122" s="6">
        <v>0</v>
      </c>
      <c r="L122" s="6">
        <v>0.20200000000000001</v>
      </c>
      <c r="M122" s="6">
        <v>0.20200000000000001</v>
      </c>
      <c r="N122" s="6">
        <v>0.20200000000000001</v>
      </c>
      <c r="O122" s="6">
        <v>0.20200000000000001</v>
      </c>
      <c r="P122" s="6">
        <v>4</v>
      </c>
      <c r="Q122" s="4" t="s">
        <v>26</v>
      </c>
      <c r="R122" s="4">
        <v>0</v>
      </c>
      <c r="S122" s="6">
        <v>0</v>
      </c>
      <c r="T122" s="6">
        <v>22</v>
      </c>
      <c r="U122" s="6">
        <v>61</v>
      </c>
      <c r="V122" s="6">
        <f>IF(ISERROR(VLOOKUP($S$122,'TAR FIN'!$A$1:$O$85,15,0)),0,VLOOKUP($S$122,'TAR FIN'!$A$1:$O$85,15,0))</f>
        <v>0</v>
      </c>
      <c r="W122" s="6">
        <f>IF(ISERROR(VLOOKUP($T$122,'TAR FIN'!$A$1:$O$85,15,0)),0,VLOOKUP($T$122,'TAR FIN'!$A$1:$O$85,15,0))</f>
        <v>222.18</v>
      </c>
      <c r="X122" s="6">
        <f>IF(ISERROR(VLOOKUP($U$122,'TAR FIN'!$A$1:$O$85,15,0)),0,VLOOKUP($U$122,'TAR FIN'!$A$1:$O$85,15,0))</f>
        <v>310.5</v>
      </c>
      <c r="Y122" s="6"/>
      <c r="Z122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22" s="6">
        <f>('TE BE'!$AB$14+'TE BF'!$AB$14+'TE CVA'!$AB$14)*(1-CUSTOS!$M$37)</f>
        <v>221.79210547670309</v>
      </c>
      <c r="AB122" s="6">
        <f>$K$122*$V$122</f>
        <v>0</v>
      </c>
      <c r="AC122" s="6">
        <f>$M$122*$W$122</f>
        <v>44.880360000000003</v>
      </c>
      <c r="AD122" s="6">
        <f>$O$122*$X$122</f>
        <v>62.721000000000004</v>
      </c>
      <c r="AE122" s="6">
        <f>$K$122*$Y$122</f>
        <v>0</v>
      </c>
      <c r="AF122" s="6">
        <f ca="1">$M$122*$Z$122</f>
        <v>43.242688622608703</v>
      </c>
      <c r="AG122" s="6">
        <f>$O$122*$AA$122</f>
        <v>44.802005306294028</v>
      </c>
    </row>
    <row r="123" spans="1:33" ht="11.25" customHeight="1" x14ac:dyDescent="0.3">
      <c r="A123" s="4" t="s">
        <v>21</v>
      </c>
      <c r="B123" s="4" t="s">
        <v>22</v>
      </c>
      <c r="C123" s="4" t="s">
        <v>23</v>
      </c>
      <c r="D123" s="4" t="s">
        <v>24</v>
      </c>
      <c r="E123" s="4" t="s">
        <v>30</v>
      </c>
      <c r="F123" s="4" t="s">
        <v>25</v>
      </c>
      <c r="G123" s="4" t="s">
        <v>25</v>
      </c>
      <c r="H123" s="4" t="s">
        <v>25</v>
      </c>
      <c r="I123" s="5">
        <v>44713</v>
      </c>
      <c r="J123" s="6">
        <v>0</v>
      </c>
      <c r="K123" s="6">
        <v>0</v>
      </c>
      <c r="L123" s="6">
        <v>0.62</v>
      </c>
      <c r="M123" s="6">
        <v>0.62</v>
      </c>
      <c r="N123" s="6">
        <v>0.62</v>
      </c>
      <c r="O123" s="6">
        <v>0.62</v>
      </c>
      <c r="P123" s="6">
        <v>4</v>
      </c>
      <c r="Q123" s="4" t="s">
        <v>26</v>
      </c>
      <c r="R123" s="4">
        <v>0</v>
      </c>
      <c r="S123" s="6">
        <v>0</v>
      </c>
      <c r="T123" s="6">
        <v>22</v>
      </c>
      <c r="U123" s="6">
        <v>61</v>
      </c>
      <c r="V123" s="6">
        <f>IF(ISERROR(VLOOKUP($S$123,'TAR FIN'!$A$1:$O$85,15,0)),0,VLOOKUP($S$123,'TAR FIN'!$A$1:$O$85,15,0))</f>
        <v>0</v>
      </c>
      <c r="W123" s="6">
        <f>IF(ISERROR(VLOOKUP($T$123,'TAR FIN'!$A$1:$O$85,15,0)),0,VLOOKUP($T$123,'TAR FIN'!$A$1:$O$85,15,0))</f>
        <v>222.18</v>
      </c>
      <c r="X123" s="6">
        <f>IF(ISERROR(VLOOKUP($U$123,'TAR FIN'!$A$1:$O$85,15,0)),0,VLOOKUP($U$123,'TAR FIN'!$A$1:$O$85,15,0))</f>
        <v>310.5</v>
      </c>
      <c r="Y123" s="6"/>
      <c r="Z123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23" s="6">
        <f>('TE BE'!$AB$14+'TE BF'!$AB$14+'TE CVA'!$AB$14)*(1-CUSTOS!$M$37)</f>
        <v>221.79210547670309</v>
      </c>
      <c r="AB123" s="6">
        <f>$K$123*$V$123</f>
        <v>0</v>
      </c>
      <c r="AC123" s="6">
        <f>$M$123*$W$123</f>
        <v>137.7516</v>
      </c>
      <c r="AD123" s="6">
        <f>$O$123*$X$123</f>
        <v>192.51</v>
      </c>
      <c r="AE123" s="6">
        <f>$K$123*$Y$123</f>
        <v>0</v>
      </c>
      <c r="AF123" s="6">
        <f ca="1">$M$123*$Z$123</f>
        <v>132.72508389117522</v>
      </c>
      <c r="AG123" s="6">
        <f>$O$123*$AA$123</f>
        <v>137.51110539555592</v>
      </c>
    </row>
    <row r="124" spans="1:33" ht="11.25" customHeight="1" x14ac:dyDescent="0.3">
      <c r="A124" s="4" t="s">
        <v>21</v>
      </c>
      <c r="B124" s="4" t="s">
        <v>22</v>
      </c>
      <c r="C124" s="4" t="s">
        <v>23</v>
      </c>
      <c r="D124" s="4" t="s">
        <v>24</v>
      </c>
      <c r="E124" s="4" t="s">
        <v>30</v>
      </c>
      <c r="F124" s="4" t="s">
        <v>25</v>
      </c>
      <c r="G124" s="4" t="s">
        <v>25</v>
      </c>
      <c r="H124" s="4" t="s">
        <v>25</v>
      </c>
      <c r="I124" s="5">
        <v>44743</v>
      </c>
      <c r="J124" s="6">
        <v>0</v>
      </c>
      <c r="K124" s="6">
        <v>0</v>
      </c>
      <c r="L124" s="6">
        <v>0.21</v>
      </c>
      <c r="M124" s="6">
        <v>0.21</v>
      </c>
      <c r="N124" s="6">
        <v>0.21</v>
      </c>
      <c r="O124" s="6">
        <v>0.21</v>
      </c>
      <c r="P124" s="6">
        <v>4</v>
      </c>
      <c r="Q124" s="4" t="s">
        <v>26</v>
      </c>
      <c r="R124" s="4">
        <v>0</v>
      </c>
      <c r="S124" s="6">
        <v>0</v>
      </c>
      <c r="T124" s="6">
        <v>22</v>
      </c>
      <c r="U124" s="6">
        <v>61</v>
      </c>
      <c r="V124" s="6">
        <f>IF(ISERROR(VLOOKUP($S$124,'TAR FIN'!$A$1:$O$85,15,0)),0,VLOOKUP($S$124,'TAR FIN'!$A$1:$O$85,15,0))</f>
        <v>0</v>
      </c>
      <c r="W124" s="6">
        <f>IF(ISERROR(VLOOKUP($T$124,'TAR FIN'!$A$1:$O$85,15,0)),0,VLOOKUP($T$124,'TAR FIN'!$A$1:$O$85,15,0))</f>
        <v>222.18</v>
      </c>
      <c r="X124" s="6">
        <f>IF(ISERROR(VLOOKUP($U$124,'TAR FIN'!$A$1:$O$85,15,0)),0,VLOOKUP($U$124,'TAR FIN'!$A$1:$O$85,15,0))</f>
        <v>310.5</v>
      </c>
      <c r="Y124" s="6"/>
      <c r="Z124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24" s="6">
        <f>('TE BE'!$AB$14+'TE BF'!$AB$14+'TE CVA'!$AB$14)*(1-CUSTOS!$M$37)</f>
        <v>221.79210547670309</v>
      </c>
      <c r="AB124" s="6">
        <f>$K$124*$V$124</f>
        <v>0</v>
      </c>
      <c r="AC124" s="6">
        <f>$M$124*$W$124</f>
        <v>46.657800000000002</v>
      </c>
      <c r="AD124" s="6">
        <f>$O$124*$X$124</f>
        <v>65.204999999999998</v>
      </c>
      <c r="AE124" s="6">
        <f>$K$124*$Y$124</f>
        <v>0</v>
      </c>
      <c r="AF124" s="6">
        <f ca="1">$M$124*$Z$124</f>
        <v>44.955270350236766</v>
      </c>
      <c r="AG124" s="6">
        <f>$O$124*$AA$124</f>
        <v>46.576342150107649</v>
      </c>
    </row>
    <row r="125" spans="1:33" ht="11.25" customHeight="1" x14ac:dyDescent="0.3">
      <c r="A125" s="4" t="s">
        <v>21</v>
      </c>
      <c r="B125" s="4" t="s">
        <v>22</v>
      </c>
      <c r="C125" s="4" t="s">
        <v>23</v>
      </c>
      <c r="D125" s="4" t="s">
        <v>24</v>
      </c>
      <c r="E125" s="4" t="s">
        <v>30</v>
      </c>
      <c r="F125" s="4" t="s">
        <v>25</v>
      </c>
      <c r="G125" s="4" t="s">
        <v>25</v>
      </c>
      <c r="H125" s="4" t="s">
        <v>25</v>
      </c>
      <c r="I125" s="5">
        <v>44774</v>
      </c>
      <c r="J125" s="6">
        <v>0</v>
      </c>
      <c r="K125" s="6">
        <v>0</v>
      </c>
      <c r="L125" s="6">
        <v>0.42599999999999999</v>
      </c>
      <c r="M125" s="6">
        <v>0.42599999999999999</v>
      </c>
      <c r="N125" s="6">
        <v>0.42599999999999999</v>
      </c>
      <c r="O125" s="6">
        <v>0.42599999999999999</v>
      </c>
      <c r="P125" s="6">
        <v>6</v>
      </c>
      <c r="Q125" s="4" t="s">
        <v>26</v>
      </c>
      <c r="R125" s="4">
        <v>0</v>
      </c>
      <c r="S125" s="6">
        <v>0</v>
      </c>
      <c r="T125" s="6">
        <v>22</v>
      </c>
      <c r="U125" s="6">
        <v>61</v>
      </c>
      <c r="V125" s="6">
        <f>IF(ISERROR(VLOOKUP($S$125,'TAR FIN'!$A$1:$O$85,15,0)),0,VLOOKUP($S$125,'TAR FIN'!$A$1:$O$85,15,0))</f>
        <v>0</v>
      </c>
      <c r="W125" s="6">
        <f>IF(ISERROR(VLOOKUP($T$125,'TAR FIN'!$A$1:$O$85,15,0)),0,VLOOKUP($T$125,'TAR FIN'!$A$1:$O$85,15,0))</f>
        <v>222.18</v>
      </c>
      <c r="X125" s="6">
        <f>IF(ISERROR(VLOOKUP($U$125,'TAR FIN'!$A$1:$O$85,15,0)),0,VLOOKUP($U$125,'TAR FIN'!$A$1:$O$85,15,0))</f>
        <v>310.5</v>
      </c>
      <c r="Y125" s="6"/>
      <c r="Z125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125" s="6">
        <f>('TE BE'!$AB$14+'TE BF'!$AB$14+'TE CVA'!$AB$14)*(1-CUSTOS!$M$37)</f>
        <v>221.79210547670309</v>
      </c>
      <c r="AB125" s="6">
        <f>$K$125*$V$125</f>
        <v>0</v>
      </c>
      <c r="AC125" s="6">
        <f>$M$125*$W$125</f>
        <v>94.648679999999999</v>
      </c>
      <c r="AD125" s="6">
        <f>$O$125*$X$125</f>
        <v>132.273</v>
      </c>
      <c r="AE125" s="6">
        <f>$K$125*$Y$125</f>
        <v>0</v>
      </c>
      <c r="AF125" s="6">
        <f ca="1">$M$125*$Z$125</f>
        <v>91.194976996194583</v>
      </c>
      <c r="AG125" s="6">
        <f>$O$125*$AA$125</f>
        <v>94.48343693307551</v>
      </c>
    </row>
    <row r="126" spans="1:33" ht="11.25" customHeight="1" x14ac:dyDescent="0.3">
      <c r="A126" s="4" t="s">
        <v>21</v>
      </c>
      <c r="B126" s="4" t="s">
        <v>39</v>
      </c>
      <c r="C126" s="4" t="s">
        <v>23</v>
      </c>
      <c r="D126" s="4" t="s">
        <v>40</v>
      </c>
      <c r="E126" s="4" t="s">
        <v>48</v>
      </c>
      <c r="F126" s="4" t="s">
        <v>49</v>
      </c>
      <c r="G126" s="4" t="s">
        <v>25</v>
      </c>
      <c r="H126" s="4" t="s">
        <v>25</v>
      </c>
      <c r="I126" s="5">
        <v>44440</v>
      </c>
      <c r="J126" s="6">
        <v>0</v>
      </c>
      <c r="K126" s="6">
        <v>0</v>
      </c>
      <c r="L126" s="6">
        <v>9.4E-2</v>
      </c>
      <c r="M126" s="6">
        <v>9.4E-2</v>
      </c>
      <c r="N126" s="6">
        <v>9.4E-2</v>
      </c>
      <c r="O126" s="6">
        <v>9.4E-2</v>
      </c>
      <c r="P126" s="6">
        <v>0</v>
      </c>
      <c r="Q126" s="4" t="s">
        <v>26</v>
      </c>
      <c r="R126" s="4">
        <v>0</v>
      </c>
      <c r="S126" s="6">
        <v>0</v>
      </c>
      <c r="T126" s="6">
        <v>33</v>
      </c>
      <c r="U126" s="6">
        <v>64</v>
      </c>
      <c r="V126" s="6">
        <f>IF(ISERROR(VLOOKUP($S$126,'TAR FIN'!$A$1:$O$85,15,0)),0,VLOOKUP($S$126,'TAR FIN'!$A$1:$O$85,15,0))</f>
        <v>0</v>
      </c>
      <c r="W126" s="6">
        <f>IF(ISERROR(VLOOKUP($T$126,'TAR FIN'!$A$1:$O$85,15,0)),0,VLOOKUP($T$126,'TAR FIN'!$A$1:$O$85,15,0))</f>
        <v>267.20999999999998</v>
      </c>
      <c r="X126" s="6">
        <f>IF(ISERROR(VLOOKUP($U$126,'TAR FIN'!$A$1:$O$85,15,0)),0,VLOOKUP($U$126,'TAR FIN'!$A$1:$O$85,15,0))</f>
        <v>273.24</v>
      </c>
      <c r="Y126" s="6"/>
      <c r="Z126" s="6">
        <f ca="1">('TUSD BE'!$AM$33+'TUSD BF'!$AM$33+'TUSD CVA'!$AM$33)*(1-CUSTOS!$M$38)</f>
        <v>292.68592240777247</v>
      </c>
      <c r="AA126" s="6">
        <f>('TE BE'!$AB$23+'TE BF'!$AB$23+'TE CVA'!$AB$23)*(1-CUSTOS!$M$38)</f>
        <v>208.48457914810089</v>
      </c>
      <c r="AB126" s="6">
        <f>$K$126*$V$126</f>
        <v>0</v>
      </c>
      <c r="AC126" s="6">
        <f>$M$126*$W$126</f>
        <v>25.117739999999998</v>
      </c>
      <c r="AD126" s="6">
        <f>$O$126*$X$126</f>
        <v>25.684560000000001</v>
      </c>
      <c r="AE126" s="6">
        <f>$K$126*$Y$126</f>
        <v>0</v>
      </c>
      <c r="AF126" s="6">
        <f ca="1">$M$126*$Z$126</f>
        <v>27.512476706330613</v>
      </c>
      <c r="AG126" s="6">
        <f>$O$126*$AA$126</f>
        <v>19.597550439921484</v>
      </c>
    </row>
    <row r="127" spans="1:33" ht="11.25" customHeight="1" x14ac:dyDescent="0.3">
      <c r="A127" s="4" t="s">
        <v>21</v>
      </c>
      <c r="B127" s="4" t="s">
        <v>39</v>
      </c>
      <c r="C127" s="4" t="s">
        <v>23</v>
      </c>
      <c r="D127" s="4" t="s">
        <v>40</v>
      </c>
      <c r="E127" s="4" t="s">
        <v>48</v>
      </c>
      <c r="F127" s="4" t="s">
        <v>49</v>
      </c>
      <c r="G127" s="4" t="s">
        <v>25</v>
      </c>
      <c r="H127" s="4" t="s">
        <v>25</v>
      </c>
      <c r="I127" s="5">
        <v>44470</v>
      </c>
      <c r="J127" s="6">
        <v>0</v>
      </c>
      <c r="K127" s="6">
        <v>0</v>
      </c>
      <c r="L127" s="6">
        <v>0.104</v>
      </c>
      <c r="M127" s="6">
        <v>0.104</v>
      </c>
      <c r="N127" s="6">
        <v>0.104</v>
      </c>
      <c r="O127" s="6">
        <v>0.104</v>
      </c>
      <c r="P127" s="6">
        <v>0</v>
      </c>
      <c r="Q127" s="4" t="s">
        <v>26</v>
      </c>
      <c r="R127" s="4">
        <v>0</v>
      </c>
      <c r="S127" s="6">
        <v>0</v>
      </c>
      <c r="T127" s="6">
        <v>33</v>
      </c>
      <c r="U127" s="6">
        <v>64</v>
      </c>
      <c r="V127" s="6">
        <f>IF(ISERROR(VLOOKUP($S$127,'TAR FIN'!$A$1:$O$85,15,0)),0,VLOOKUP($S$127,'TAR FIN'!$A$1:$O$85,15,0))</f>
        <v>0</v>
      </c>
      <c r="W127" s="6">
        <f>IF(ISERROR(VLOOKUP($T$127,'TAR FIN'!$A$1:$O$85,15,0)),0,VLOOKUP($T$127,'TAR FIN'!$A$1:$O$85,15,0))</f>
        <v>267.20999999999998</v>
      </c>
      <c r="X127" s="6">
        <f>IF(ISERROR(VLOOKUP($U$127,'TAR FIN'!$A$1:$O$85,15,0)),0,VLOOKUP($U$127,'TAR FIN'!$A$1:$O$85,15,0))</f>
        <v>273.24</v>
      </c>
      <c r="Y127" s="6"/>
      <c r="Z127" s="6">
        <f ca="1">('TUSD BE'!$AM$33+'TUSD BF'!$AM$33+'TUSD CVA'!$AM$33)*(1-CUSTOS!$M$38)</f>
        <v>292.68592240777247</v>
      </c>
      <c r="AA127" s="6">
        <f>('TE BE'!$AB$23+'TE BF'!$AB$23+'TE CVA'!$AB$23)*(1-CUSTOS!$M$38)</f>
        <v>208.48457914810089</v>
      </c>
      <c r="AB127" s="6">
        <f>$K$127*$V$127</f>
        <v>0</v>
      </c>
      <c r="AC127" s="6">
        <f>$M$127*$W$127</f>
        <v>27.789839999999998</v>
      </c>
      <c r="AD127" s="6">
        <f>$O$127*$X$127</f>
        <v>28.41696</v>
      </c>
      <c r="AE127" s="6">
        <f>$K$127*$Y$127</f>
        <v>0</v>
      </c>
      <c r="AF127" s="6">
        <f ca="1">$M$127*$Z$127</f>
        <v>30.439335930408337</v>
      </c>
      <c r="AG127" s="6">
        <f>$O$127*$AA$127</f>
        <v>21.682396231402493</v>
      </c>
    </row>
    <row r="128" spans="1:33" ht="11.25" customHeight="1" x14ac:dyDescent="0.3">
      <c r="A128" s="4" t="s">
        <v>21</v>
      </c>
      <c r="B128" s="4" t="s">
        <v>39</v>
      </c>
      <c r="C128" s="4" t="s">
        <v>23</v>
      </c>
      <c r="D128" s="4" t="s">
        <v>40</v>
      </c>
      <c r="E128" s="4" t="s">
        <v>48</v>
      </c>
      <c r="F128" s="4" t="s">
        <v>49</v>
      </c>
      <c r="G128" s="4" t="s">
        <v>25</v>
      </c>
      <c r="H128" s="4" t="s">
        <v>25</v>
      </c>
      <c r="I128" s="5">
        <v>44501</v>
      </c>
      <c r="J128" s="6">
        <v>0</v>
      </c>
      <c r="K128" s="6">
        <v>0</v>
      </c>
      <c r="L128" s="6">
        <v>8.5000000000000006E-2</v>
      </c>
      <c r="M128" s="6">
        <v>8.5000000000000006E-2</v>
      </c>
      <c r="N128" s="6">
        <v>8.5000000000000006E-2</v>
      </c>
      <c r="O128" s="6">
        <v>8.5000000000000006E-2</v>
      </c>
      <c r="P128" s="6">
        <v>0</v>
      </c>
      <c r="Q128" s="4" t="s">
        <v>26</v>
      </c>
      <c r="R128" s="4">
        <v>0</v>
      </c>
      <c r="S128" s="6">
        <v>0</v>
      </c>
      <c r="T128" s="6">
        <v>33</v>
      </c>
      <c r="U128" s="6">
        <v>64</v>
      </c>
      <c r="V128" s="6">
        <f>IF(ISERROR(VLOOKUP($S$128,'TAR FIN'!$A$1:$O$85,15,0)),0,VLOOKUP($S$128,'TAR FIN'!$A$1:$O$85,15,0))</f>
        <v>0</v>
      </c>
      <c r="W128" s="6">
        <f>IF(ISERROR(VLOOKUP($T$128,'TAR FIN'!$A$1:$O$85,15,0)),0,VLOOKUP($T$128,'TAR FIN'!$A$1:$O$85,15,0))</f>
        <v>267.20999999999998</v>
      </c>
      <c r="X128" s="6">
        <f>IF(ISERROR(VLOOKUP($U$128,'TAR FIN'!$A$1:$O$85,15,0)),0,VLOOKUP($U$128,'TAR FIN'!$A$1:$O$85,15,0))</f>
        <v>273.24</v>
      </c>
      <c r="Y128" s="6"/>
      <c r="Z128" s="6">
        <f ca="1">('TUSD BE'!$AM$33+'TUSD BF'!$AM$33+'TUSD CVA'!$AM$33)*(1-CUSTOS!$M$38)</f>
        <v>292.68592240777247</v>
      </c>
      <c r="AA128" s="6">
        <f>('TE BE'!$AB$23+'TE BF'!$AB$23+'TE CVA'!$AB$23)*(1-CUSTOS!$M$38)</f>
        <v>208.48457914810089</v>
      </c>
      <c r="AB128" s="6">
        <f>$K$128*$V$128</f>
        <v>0</v>
      </c>
      <c r="AC128" s="6">
        <f>$M$128*$W$128</f>
        <v>22.71285</v>
      </c>
      <c r="AD128" s="6">
        <f>$O$128*$X$128</f>
        <v>23.225400000000004</v>
      </c>
      <c r="AE128" s="6">
        <f>$K$128*$Y$128</f>
        <v>0</v>
      </c>
      <c r="AF128" s="6">
        <f ca="1">$M$128*$Z$128</f>
        <v>24.878303404660663</v>
      </c>
      <c r="AG128" s="6">
        <f>$O$128*$AA$128</f>
        <v>17.721189227588578</v>
      </c>
    </row>
    <row r="129" spans="1:33" ht="11.25" customHeight="1" x14ac:dyDescent="0.3">
      <c r="A129" s="4" t="s">
        <v>21</v>
      </c>
      <c r="B129" s="4" t="s">
        <v>39</v>
      </c>
      <c r="C129" s="4" t="s">
        <v>23</v>
      </c>
      <c r="D129" s="4" t="s">
        <v>40</v>
      </c>
      <c r="E129" s="4" t="s">
        <v>48</v>
      </c>
      <c r="F129" s="4" t="s">
        <v>49</v>
      </c>
      <c r="G129" s="4" t="s">
        <v>25</v>
      </c>
      <c r="H129" s="4" t="s">
        <v>25</v>
      </c>
      <c r="I129" s="5">
        <v>44531</v>
      </c>
      <c r="J129" s="6">
        <v>0</v>
      </c>
      <c r="K129" s="6">
        <v>0</v>
      </c>
      <c r="L129" s="6">
        <v>0.1</v>
      </c>
      <c r="M129" s="6">
        <v>0.1</v>
      </c>
      <c r="N129" s="6">
        <v>0.1</v>
      </c>
      <c r="O129" s="6">
        <v>0.1</v>
      </c>
      <c r="P129" s="6">
        <v>0</v>
      </c>
      <c r="Q129" s="4" t="s">
        <v>26</v>
      </c>
      <c r="R129" s="4">
        <v>0</v>
      </c>
      <c r="S129" s="6">
        <v>0</v>
      </c>
      <c r="T129" s="6">
        <v>33</v>
      </c>
      <c r="U129" s="6">
        <v>64</v>
      </c>
      <c r="V129" s="6">
        <f>IF(ISERROR(VLOOKUP($S$129,'TAR FIN'!$A$1:$O$85,15,0)),0,VLOOKUP($S$129,'TAR FIN'!$A$1:$O$85,15,0))</f>
        <v>0</v>
      </c>
      <c r="W129" s="6">
        <f>IF(ISERROR(VLOOKUP($T$129,'TAR FIN'!$A$1:$O$85,15,0)),0,VLOOKUP($T$129,'TAR FIN'!$A$1:$O$85,15,0))</f>
        <v>267.20999999999998</v>
      </c>
      <c r="X129" s="6">
        <f>IF(ISERROR(VLOOKUP($U$129,'TAR FIN'!$A$1:$O$85,15,0)),0,VLOOKUP($U$129,'TAR FIN'!$A$1:$O$85,15,0))</f>
        <v>273.24</v>
      </c>
      <c r="Y129" s="6"/>
      <c r="Z129" s="6">
        <f ca="1">('TUSD BE'!$AM$33+'TUSD BF'!$AM$33+'TUSD CVA'!$AM$33)*(1-CUSTOS!$M$38)</f>
        <v>292.68592240777247</v>
      </c>
      <c r="AA129" s="6">
        <f>('TE BE'!$AB$23+'TE BF'!$AB$23+'TE CVA'!$AB$23)*(1-CUSTOS!$M$38)</f>
        <v>208.48457914810089</v>
      </c>
      <c r="AB129" s="6">
        <f>$K$129*$V$129</f>
        <v>0</v>
      </c>
      <c r="AC129" s="6">
        <f>$M$129*$W$129</f>
        <v>26.721</v>
      </c>
      <c r="AD129" s="6">
        <f>$O$129*$X$129</f>
        <v>27.324000000000002</v>
      </c>
      <c r="AE129" s="6">
        <f>$K$129*$Y$129</f>
        <v>0</v>
      </c>
      <c r="AF129" s="6">
        <f ca="1">$M$129*$Z$129</f>
        <v>29.268592240777249</v>
      </c>
      <c r="AG129" s="6">
        <f>$O$129*$AA$129</f>
        <v>20.848457914810091</v>
      </c>
    </row>
    <row r="130" spans="1:33" ht="11.25" customHeight="1" x14ac:dyDescent="0.3">
      <c r="A130" s="4" t="s">
        <v>21</v>
      </c>
      <c r="B130" s="4" t="s">
        <v>39</v>
      </c>
      <c r="C130" s="4" t="s">
        <v>23</v>
      </c>
      <c r="D130" s="4" t="s">
        <v>40</v>
      </c>
      <c r="E130" s="4" t="s">
        <v>48</v>
      </c>
      <c r="F130" s="4" t="s">
        <v>49</v>
      </c>
      <c r="G130" s="4" t="s">
        <v>25</v>
      </c>
      <c r="H130" s="4" t="s">
        <v>25</v>
      </c>
      <c r="I130" s="5">
        <v>44562</v>
      </c>
      <c r="J130" s="6">
        <v>0</v>
      </c>
      <c r="K130" s="6">
        <v>0</v>
      </c>
      <c r="L130" s="6">
        <v>0.1</v>
      </c>
      <c r="M130" s="6">
        <v>0.1</v>
      </c>
      <c r="N130" s="6">
        <v>0.1</v>
      </c>
      <c r="O130" s="6">
        <v>0.1</v>
      </c>
      <c r="P130" s="6">
        <v>0</v>
      </c>
      <c r="Q130" s="4" t="s">
        <v>26</v>
      </c>
      <c r="R130" s="4">
        <v>0</v>
      </c>
      <c r="S130" s="6">
        <v>0</v>
      </c>
      <c r="T130" s="6">
        <v>33</v>
      </c>
      <c r="U130" s="6">
        <v>64</v>
      </c>
      <c r="V130" s="6">
        <f>IF(ISERROR(VLOOKUP($S$130,'TAR FIN'!$A$1:$O$85,15,0)),0,VLOOKUP($S$130,'TAR FIN'!$A$1:$O$85,15,0))</f>
        <v>0</v>
      </c>
      <c r="W130" s="6">
        <f>IF(ISERROR(VLOOKUP($T$130,'TAR FIN'!$A$1:$O$85,15,0)),0,VLOOKUP($T$130,'TAR FIN'!$A$1:$O$85,15,0))</f>
        <v>267.20999999999998</v>
      </c>
      <c r="X130" s="6">
        <f>IF(ISERROR(VLOOKUP($U$130,'TAR FIN'!$A$1:$O$85,15,0)),0,VLOOKUP($U$130,'TAR FIN'!$A$1:$O$85,15,0))</f>
        <v>273.24</v>
      </c>
      <c r="Y130" s="6"/>
      <c r="Z130" s="6">
        <f ca="1">('TUSD BE'!$AM$33+'TUSD BF'!$AM$33+'TUSD CVA'!$AM$33)*(1-CUSTOS!$M$38)</f>
        <v>292.68592240777247</v>
      </c>
      <c r="AA130" s="6">
        <f>('TE BE'!$AB$23+'TE BF'!$AB$23+'TE CVA'!$AB$23)*(1-CUSTOS!$M$38)</f>
        <v>208.48457914810089</v>
      </c>
      <c r="AB130" s="6">
        <f>$K$130*$V$130</f>
        <v>0</v>
      </c>
      <c r="AC130" s="6">
        <f>$M$130*$W$130</f>
        <v>26.721</v>
      </c>
      <c r="AD130" s="6">
        <f>$O$130*$X$130</f>
        <v>27.324000000000002</v>
      </c>
      <c r="AE130" s="6">
        <f>$K$130*$Y$130</f>
        <v>0</v>
      </c>
      <c r="AF130" s="6">
        <f ca="1">$M$130*$Z$130</f>
        <v>29.268592240777249</v>
      </c>
      <c r="AG130" s="6">
        <f>$O$130*$AA$130</f>
        <v>20.848457914810091</v>
      </c>
    </row>
    <row r="131" spans="1:33" ht="11.25" customHeight="1" x14ac:dyDescent="0.3">
      <c r="A131" s="4" t="s">
        <v>21</v>
      </c>
      <c r="B131" s="4" t="s">
        <v>39</v>
      </c>
      <c r="C131" s="4" t="s">
        <v>23</v>
      </c>
      <c r="D131" s="4" t="s">
        <v>40</v>
      </c>
      <c r="E131" s="4" t="s">
        <v>48</v>
      </c>
      <c r="F131" s="4" t="s">
        <v>49</v>
      </c>
      <c r="G131" s="4" t="s">
        <v>25</v>
      </c>
      <c r="H131" s="4" t="s">
        <v>25</v>
      </c>
      <c r="I131" s="5">
        <v>44593</v>
      </c>
      <c r="J131" s="6">
        <v>0</v>
      </c>
      <c r="K131" s="6">
        <v>0</v>
      </c>
      <c r="L131" s="6">
        <v>9.5000000000000001E-2</v>
      </c>
      <c r="M131" s="6">
        <v>9.5000000000000001E-2</v>
      </c>
      <c r="N131" s="6">
        <v>9.5000000000000001E-2</v>
      </c>
      <c r="O131" s="6">
        <v>9.5000000000000001E-2</v>
      </c>
      <c r="P131" s="6">
        <v>0</v>
      </c>
      <c r="Q131" s="4" t="s">
        <v>26</v>
      </c>
      <c r="R131" s="4">
        <v>0</v>
      </c>
      <c r="S131" s="6">
        <v>0</v>
      </c>
      <c r="T131" s="6">
        <v>33</v>
      </c>
      <c r="U131" s="6">
        <v>64</v>
      </c>
      <c r="V131" s="6">
        <f>IF(ISERROR(VLOOKUP($S$131,'TAR FIN'!$A$1:$O$85,15,0)),0,VLOOKUP($S$131,'TAR FIN'!$A$1:$O$85,15,0))</f>
        <v>0</v>
      </c>
      <c r="W131" s="6">
        <f>IF(ISERROR(VLOOKUP($T$131,'TAR FIN'!$A$1:$O$85,15,0)),0,VLOOKUP($T$131,'TAR FIN'!$A$1:$O$85,15,0))</f>
        <v>267.20999999999998</v>
      </c>
      <c r="X131" s="6">
        <f>IF(ISERROR(VLOOKUP($U$131,'TAR FIN'!$A$1:$O$85,15,0)),0,VLOOKUP($U$131,'TAR FIN'!$A$1:$O$85,15,0))</f>
        <v>273.24</v>
      </c>
      <c r="Y131" s="6"/>
      <c r="Z131" s="6">
        <f ca="1">('TUSD BE'!$AM$33+'TUSD BF'!$AM$33+'TUSD CVA'!$AM$33)*(1-CUSTOS!$M$38)</f>
        <v>292.68592240777247</v>
      </c>
      <c r="AA131" s="6">
        <f>('TE BE'!$AB$23+'TE BF'!$AB$23+'TE CVA'!$AB$23)*(1-CUSTOS!$M$38)</f>
        <v>208.48457914810089</v>
      </c>
      <c r="AB131" s="6">
        <f>$K$131*$V$131</f>
        <v>0</v>
      </c>
      <c r="AC131" s="6">
        <f>$M$131*$W$131</f>
        <v>25.38495</v>
      </c>
      <c r="AD131" s="6">
        <f>$O$131*$X$131</f>
        <v>25.957800000000002</v>
      </c>
      <c r="AE131" s="6">
        <f>$K$131*$Y$131</f>
        <v>0</v>
      </c>
      <c r="AF131" s="6">
        <f ca="1">$M$131*$Z$131</f>
        <v>27.805162628738383</v>
      </c>
      <c r="AG131" s="6">
        <f>$O$131*$AA$131</f>
        <v>19.806035019069586</v>
      </c>
    </row>
    <row r="132" spans="1:33" ht="11.25" customHeight="1" x14ac:dyDescent="0.3">
      <c r="A132" s="4" t="s">
        <v>21</v>
      </c>
      <c r="B132" s="4" t="s">
        <v>39</v>
      </c>
      <c r="C132" s="4" t="s">
        <v>23</v>
      </c>
      <c r="D132" s="4" t="s">
        <v>40</v>
      </c>
      <c r="E132" s="4" t="s">
        <v>48</v>
      </c>
      <c r="F132" s="4" t="s">
        <v>49</v>
      </c>
      <c r="G132" s="4" t="s">
        <v>25</v>
      </c>
      <c r="H132" s="4" t="s">
        <v>25</v>
      </c>
      <c r="I132" s="5">
        <v>44621</v>
      </c>
      <c r="J132" s="6">
        <v>0</v>
      </c>
      <c r="K132" s="6">
        <v>0</v>
      </c>
      <c r="L132" s="6">
        <v>9.7000000000000003E-2</v>
      </c>
      <c r="M132" s="6">
        <v>9.7000000000000003E-2</v>
      </c>
      <c r="N132" s="6">
        <v>9.7000000000000003E-2</v>
      </c>
      <c r="O132" s="6">
        <v>9.7000000000000003E-2</v>
      </c>
      <c r="P132" s="6">
        <v>0</v>
      </c>
      <c r="Q132" s="4" t="s">
        <v>26</v>
      </c>
      <c r="R132" s="4">
        <v>0</v>
      </c>
      <c r="S132" s="6">
        <v>0</v>
      </c>
      <c r="T132" s="6">
        <v>33</v>
      </c>
      <c r="U132" s="6">
        <v>64</v>
      </c>
      <c r="V132" s="6">
        <f>IF(ISERROR(VLOOKUP($S$132,'TAR FIN'!$A$1:$O$85,15,0)),0,VLOOKUP($S$132,'TAR FIN'!$A$1:$O$85,15,0))</f>
        <v>0</v>
      </c>
      <c r="W132" s="6">
        <f>IF(ISERROR(VLOOKUP($T$132,'TAR FIN'!$A$1:$O$85,15,0)),0,VLOOKUP($T$132,'TAR FIN'!$A$1:$O$85,15,0))</f>
        <v>267.20999999999998</v>
      </c>
      <c r="X132" s="6">
        <f>IF(ISERROR(VLOOKUP($U$132,'TAR FIN'!$A$1:$O$85,15,0)),0,VLOOKUP($U$132,'TAR FIN'!$A$1:$O$85,15,0))</f>
        <v>273.24</v>
      </c>
      <c r="Y132" s="6"/>
      <c r="Z132" s="6">
        <f ca="1">('TUSD BE'!$AM$33+'TUSD BF'!$AM$33+'TUSD CVA'!$AM$33)*(1-CUSTOS!$M$38)</f>
        <v>292.68592240777247</v>
      </c>
      <c r="AA132" s="6">
        <f>('TE BE'!$AB$23+'TE BF'!$AB$23+'TE CVA'!$AB$23)*(1-CUSTOS!$M$38)</f>
        <v>208.48457914810089</v>
      </c>
      <c r="AB132" s="6">
        <f>$K$132*$V$132</f>
        <v>0</v>
      </c>
      <c r="AC132" s="6">
        <f>$M$132*$W$132</f>
        <v>25.919369999999997</v>
      </c>
      <c r="AD132" s="6">
        <f>$O$132*$X$132</f>
        <v>26.504280000000001</v>
      </c>
      <c r="AE132" s="6">
        <f>$K$132*$Y$132</f>
        <v>0</v>
      </c>
      <c r="AF132" s="6">
        <f ca="1">$M$132*$Z$132</f>
        <v>28.390534473553931</v>
      </c>
      <c r="AG132" s="6">
        <f>$O$132*$AA$132</f>
        <v>20.223004177365787</v>
      </c>
    </row>
    <row r="133" spans="1:33" ht="11.25" customHeight="1" x14ac:dyDescent="0.3">
      <c r="A133" s="4" t="s">
        <v>21</v>
      </c>
      <c r="B133" s="4" t="s">
        <v>39</v>
      </c>
      <c r="C133" s="4" t="s">
        <v>23</v>
      </c>
      <c r="D133" s="4" t="s">
        <v>40</v>
      </c>
      <c r="E133" s="4" t="s">
        <v>48</v>
      </c>
      <c r="F133" s="4" t="s">
        <v>49</v>
      </c>
      <c r="G133" s="4" t="s">
        <v>25</v>
      </c>
      <c r="H133" s="4" t="s">
        <v>25</v>
      </c>
      <c r="I133" s="5">
        <v>44652</v>
      </c>
      <c r="J133" s="6">
        <v>0</v>
      </c>
      <c r="K133" s="6">
        <v>0</v>
      </c>
      <c r="L133" s="6">
        <v>9.6000000000000002E-2</v>
      </c>
      <c r="M133" s="6">
        <v>9.6000000000000002E-2</v>
      </c>
      <c r="N133" s="6">
        <v>9.6000000000000002E-2</v>
      </c>
      <c r="O133" s="6">
        <v>9.6000000000000002E-2</v>
      </c>
      <c r="P133" s="6">
        <v>0</v>
      </c>
      <c r="Q133" s="4" t="s">
        <v>26</v>
      </c>
      <c r="R133" s="4">
        <v>0</v>
      </c>
      <c r="S133" s="6">
        <v>0</v>
      </c>
      <c r="T133" s="6">
        <v>33</v>
      </c>
      <c r="U133" s="6">
        <v>64</v>
      </c>
      <c r="V133" s="6">
        <f>IF(ISERROR(VLOOKUP($S$133,'TAR FIN'!$A$1:$O$85,15,0)),0,VLOOKUP($S$133,'TAR FIN'!$A$1:$O$85,15,0))</f>
        <v>0</v>
      </c>
      <c r="W133" s="6">
        <f>IF(ISERROR(VLOOKUP($T$133,'TAR FIN'!$A$1:$O$85,15,0)),0,VLOOKUP($T$133,'TAR FIN'!$A$1:$O$85,15,0))</f>
        <v>267.20999999999998</v>
      </c>
      <c r="X133" s="6">
        <f>IF(ISERROR(VLOOKUP($U$133,'TAR FIN'!$A$1:$O$85,15,0)),0,VLOOKUP($U$133,'TAR FIN'!$A$1:$O$85,15,0))</f>
        <v>273.24</v>
      </c>
      <c r="Y133" s="6"/>
      <c r="Z133" s="6">
        <f ca="1">('TUSD BE'!$AM$33+'TUSD BF'!$AM$33+'TUSD CVA'!$AM$33)*(1-CUSTOS!$M$38)</f>
        <v>292.68592240777247</v>
      </c>
      <c r="AA133" s="6">
        <f>('TE BE'!$AB$23+'TE BF'!$AB$23+'TE CVA'!$AB$23)*(1-CUSTOS!$M$38)</f>
        <v>208.48457914810089</v>
      </c>
      <c r="AB133" s="6">
        <f>$K$133*$V$133</f>
        <v>0</v>
      </c>
      <c r="AC133" s="6">
        <f>$M$133*$W$133</f>
        <v>25.652159999999999</v>
      </c>
      <c r="AD133" s="6">
        <f>$O$133*$X$133</f>
        <v>26.23104</v>
      </c>
      <c r="AE133" s="6">
        <f>$K$133*$Y$133</f>
        <v>0</v>
      </c>
      <c r="AF133" s="6">
        <f ca="1">$M$133*$Z$133</f>
        <v>28.097848551146157</v>
      </c>
      <c r="AG133" s="6">
        <f>$O$133*$AA$133</f>
        <v>20.014519598217685</v>
      </c>
    </row>
    <row r="134" spans="1:33" ht="11.25" customHeight="1" x14ac:dyDescent="0.3">
      <c r="A134" s="4" t="s">
        <v>21</v>
      </c>
      <c r="B134" s="4" t="s">
        <v>39</v>
      </c>
      <c r="C134" s="4" t="s">
        <v>23</v>
      </c>
      <c r="D134" s="4" t="s">
        <v>40</v>
      </c>
      <c r="E134" s="4" t="s">
        <v>48</v>
      </c>
      <c r="F134" s="4" t="s">
        <v>49</v>
      </c>
      <c r="G134" s="4" t="s">
        <v>25</v>
      </c>
      <c r="H134" s="4" t="s">
        <v>25</v>
      </c>
      <c r="I134" s="5">
        <v>44682</v>
      </c>
      <c r="J134" s="6">
        <v>0</v>
      </c>
      <c r="K134" s="6">
        <v>0</v>
      </c>
      <c r="L134" s="6">
        <v>0.1</v>
      </c>
      <c r="M134" s="6">
        <v>0.1</v>
      </c>
      <c r="N134" s="6">
        <v>0.1</v>
      </c>
      <c r="O134" s="6">
        <v>0.1</v>
      </c>
      <c r="P134" s="6">
        <v>0</v>
      </c>
      <c r="Q134" s="4" t="s">
        <v>26</v>
      </c>
      <c r="R134" s="4">
        <v>0</v>
      </c>
      <c r="S134" s="6">
        <v>0</v>
      </c>
      <c r="T134" s="6">
        <v>33</v>
      </c>
      <c r="U134" s="6">
        <v>64</v>
      </c>
      <c r="V134" s="6">
        <f>IF(ISERROR(VLOOKUP($S$134,'TAR FIN'!$A$1:$O$85,15,0)),0,VLOOKUP($S$134,'TAR FIN'!$A$1:$O$85,15,0))</f>
        <v>0</v>
      </c>
      <c r="W134" s="6">
        <f>IF(ISERROR(VLOOKUP($T$134,'TAR FIN'!$A$1:$O$85,15,0)),0,VLOOKUP($T$134,'TAR FIN'!$A$1:$O$85,15,0))</f>
        <v>267.20999999999998</v>
      </c>
      <c r="X134" s="6">
        <f>IF(ISERROR(VLOOKUP($U$134,'TAR FIN'!$A$1:$O$85,15,0)),0,VLOOKUP($U$134,'TAR FIN'!$A$1:$O$85,15,0))</f>
        <v>273.24</v>
      </c>
      <c r="Y134" s="6"/>
      <c r="Z134" s="6">
        <f ca="1">('TUSD BE'!$AM$33+'TUSD BF'!$AM$33+'TUSD CVA'!$AM$33)*(1-CUSTOS!$M$38)</f>
        <v>292.68592240777247</v>
      </c>
      <c r="AA134" s="6">
        <f>('TE BE'!$AB$23+'TE BF'!$AB$23+'TE CVA'!$AB$23)*(1-CUSTOS!$M$38)</f>
        <v>208.48457914810089</v>
      </c>
      <c r="AB134" s="6">
        <f>$K$134*$V$134</f>
        <v>0</v>
      </c>
      <c r="AC134" s="6">
        <f>$M$134*$W$134</f>
        <v>26.721</v>
      </c>
      <c r="AD134" s="6">
        <f>$O$134*$X$134</f>
        <v>27.324000000000002</v>
      </c>
      <c r="AE134" s="6">
        <f>$K$134*$Y$134</f>
        <v>0</v>
      </c>
      <c r="AF134" s="6">
        <f ca="1">$M$134*$Z$134</f>
        <v>29.268592240777249</v>
      </c>
      <c r="AG134" s="6">
        <f>$O$134*$AA$134</f>
        <v>20.848457914810091</v>
      </c>
    </row>
    <row r="135" spans="1:33" ht="11.25" customHeight="1" x14ac:dyDescent="0.3">
      <c r="A135" s="4" t="s">
        <v>21</v>
      </c>
      <c r="B135" s="4" t="s">
        <v>39</v>
      </c>
      <c r="C135" s="4" t="s">
        <v>23</v>
      </c>
      <c r="D135" s="4" t="s">
        <v>40</v>
      </c>
      <c r="E135" s="4" t="s">
        <v>48</v>
      </c>
      <c r="F135" s="4" t="s">
        <v>50</v>
      </c>
      <c r="G135" s="4" t="s">
        <v>25</v>
      </c>
      <c r="H135" s="4" t="s">
        <v>25</v>
      </c>
      <c r="I135" s="5">
        <v>44440</v>
      </c>
      <c r="J135" s="6">
        <v>0</v>
      </c>
      <c r="K135" s="6">
        <v>0</v>
      </c>
      <c r="L135" s="6">
        <v>6.0000000000000001E-3</v>
      </c>
      <c r="M135" s="6">
        <v>2.3999999999999998E-3</v>
      </c>
      <c r="N135" s="6">
        <v>6.0000000000000001E-3</v>
      </c>
      <c r="O135" s="6">
        <v>2.3999999999999998E-3</v>
      </c>
      <c r="P135" s="6">
        <v>0</v>
      </c>
      <c r="Q135" s="4" t="s">
        <v>26</v>
      </c>
      <c r="R135" s="4">
        <v>0</v>
      </c>
      <c r="S135" s="6">
        <v>0</v>
      </c>
      <c r="T135" s="6">
        <v>26</v>
      </c>
      <c r="U135" s="6">
        <v>64</v>
      </c>
      <c r="V135" s="6">
        <f>IF(ISERROR(VLOOKUP($S$135,'TAR FIN'!$A$1:$O$85,15,0)),0,VLOOKUP($S$135,'TAR FIN'!$A$1:$O$85,15,0))</f>
        <v>0</v>
      </c>
      <c r="W135" s="6">
        <f>IF(ISERROR(VLOOKUP($T$135,'TAR FIN'!$A$1:$O$85,15,0)),0,VLOOKUP($T$135,'TAR FIN'!$A$1:$O$85,15,0))</f>
        <v>255.06</v>
      </c>
      <c r="X135" s="6">
        <f>IF(ISERROR(VLOOKUP($U$135,'TAR FIN'!$A$1:$O$85,15,0)),0,VLOOKUP($U$135,'TAR FIN'!$A$1:$O$85,15,0))</f>
        <v>273.24</v>
      </c>
      <c r="Y135" s="6"/>
      <c r="Z135" s="6">
        <f ca="1">('TUSD BE'!$AM$33+'TUSD BF'!$AM$33+'TUSD CVA'!$AM$33)*(1-CUSTOS!$M$38)</f>
        <v>292.68592240777247</v>
      </c>
      <c r="AA135" s="6">
        <f>('TE BE'!$AB$23+'TE BF'!$AB$23+'TE CVA'!$AB$23)*(1-CUSTOS!$M$38)</f>
        <v>208.48457914810089</v>
      </c>
      <c r="AB135" s="6">
        <f>$K$135*$V$135</f>
        <v>0</v>
      </c>
      <c r="AC135" s="6">
        <f>$M$135*$W$135</f>
        <v>0.61214399999999991</v>
      </c>
      <c r="AD135" s="6">
        <f>$O$135*$X$135</f>
        <v>0.65577599999999991</v>
      </c>
      <c r="AE135" s="6">
        <f>$K$135*$Y$135</f>
        <v>0</v>
      </c>
      <c r="AF135" s="6">
        <f ca="1">$M$135*$Z$135</f>
        <v>0.70244621377865391</v>
      </c>
      <c r="AG135" s="6">
        <f>$O$135*$AA$135</f>
        <v>0.50036298995544215</v>
      </c>
    </row>
    <row r="136" spans="1:33" ht="11.25" customHeight="1" x14ac:dyDescent="0.3">
      <c r="A136" s="4" t="s">
        <v>21</v>
      </c>
      <c r="B136" s="4" t="s">
        <v>39</v>
      </c>
      <c r="C136" s="4" t="s">
        <v>23</v>
      </c>
      <c r="D136" s="4" t="s">
        <v>40</v>
      </c>
      <c r="E136" s="4" t="s">
        <v>48</v>
      </c>
      <c r="F136" s="4" t="s">
        <v>50</v>
      </c>
      <c r="G136" s="4" t="s">
        <v>25</v>
      </c>
      <c r="H136" s="4" t="s">
        <v>25</v>
      </c>
      <c r="I136" s="5">
        <v>44470</v>
      </c>
      <c r="J136" s="6">
        <v>0</v>
      </c>
      <c r="K136" s="6">
        <v>0</v>
      </c>
      <c r="L136" s="6">
        <v>1.4999999999999999E-2</v>
      </c>
      <c r="M136" s="6">
        <v>6.0000000000000001E-3</v>
      </c>
      <c r="N136" s="6">
        <v>1.4999999999999999E-2</v>
      </c>
      <c r="O136" s="6">
        <v>6.0000000000000001E-3</v>
      </c>
      <c r="P136" s="6">
        <v>0</v>
      </c>
      <c r="Q136" s="4" t="s">
        <v>26</v>
      </c>
      <c r="R136" s="4">
        <v>0</v>
      </c>
      <c r="S136" s="6">
        <v>0</v>
      </c>
      <c r="T136" s="6">
        <v>26</v>
      </c>
      <c r="U136" s="6">
        <v>64</v>
      </c>
      <c r="V136" s="6">
        <f>IF(ISERROR(VLOOKUP($S$136,'TAR FIN'!$A$1:$O$85,15,0)),0,VLOOKUP($S$136,'TAR FIN'!$A$1:$O$85,15,0))</f>
        <v>0</v>
      </c>
      <c r="W136" s="6">
        <f>IF(ISERROR(VLOOKUP($T$136,'TAR FIN'!$A$1:$O$85,15,0)),0,VLOOKUP($T$136,'TAR FIN'!$A$1:$O$85,15,0))</f>
        <v>255.06</v>
      </c>
      <c r="X136" s="6">
        <f>IF(ISERROR(VLOOKUP($U$136,'TAR FIN'!$A$1:$O$85,15,0)),0,VLOOKUP($U$136,'TAR FIN'!$A$1:$O$85,15,0))</f>
        <v>273.24</v>
      </c>
      <c r="Y136" s="6"/>
      <c r="Z136" s="6">
        <f ca="1">('TUSD BE'!$AM$33+'TUSD BF'!$AM$33+'TUSD CVA'!$AM$33)*(1-CUSTOS!$M$38)</f>
        <v>292.68592240777247</v>
      </c>
      <c r="AA136" s="6">
        <f>('TE BE'!$AB$23+'TE BF'!$AB$23+'TE CVA'!$AB$23)*(1-CUSTOS!$M$38)</f>
        <v>208.48457914810089</v>
      </c>
      <c r="AB136" s="6">
        <f>$K$136*$V$136</f>
        <v>0</v>
      </c>
      <c r="AC136" s="6">
        <f>$M$136*$W$136</f>
        <v>1.5303599999999999</v>
      </c>
      <c r="AD136" s="6">
        <f>$O$136*$X$136</f>
        <v>1.63944</v>
      </c>
      <c r="AE136" s="6">
        <f>$K$136*$Y$136</f>
        <v>0</v>
      </c>
      <c r="AF136" s="6">
        <f ca="1">$M$136*$Z$136</f>
        <v>1.7561155344466348</v>
      </c>
      <c r="AG136" s="6">
        <f>$O$136*$AA$136</f>
        <v>1.2509074748886053</v>
      </c>
    </row>
    <row r="137" spans="1:33" ht="11.25" customHeight="1" x14ac:dyDescent="0.3">
      <c r="A137" s="4" t="s">
        <v>21</v>
      </c>
      <c r="B137" s="4" t="s">
        <v>39</v>
      </c>
      <c r="C137" s="4" t="s">
        <v>23</v>
      </c>
      <c r="D137" s="4" t="s">
        <v>40</v>
      </c>
      <c r="E137" s="4" t="s">
        <v>48</v>
      </c>
      <c r="F137" s="4" t="s">
        <v>50</v>
      </c>
      <c r="G137" s="4" t="s">
        <v>25</v>
      </c>
      <c r="H137" s="4" t="s">
        <v>25</v>
      </c>
      <c r="I137" s="5">
        <v>44501</v>
      </c>
      <c r="J137" s="6">
        <v>0</v>
      </c>
      <c r="K137" s="6">
        <v>0</v>
      </c>
      <c r="L137" s="6">
        <v>1.4999999999999999E-2</v>
      </c>
      <c r="M137" s="6">
        <v>6.0000000000000001E-3</v>
      </c>
      <c r="N137" s="6">
        <v>1.4999999999999999E-2</v>
      </c>
      <c r="O137" s="6">
        <v>6.0000000000000001E-3</v>
      </c>
      <c r="P137" s="6">
        <v>0</v>
      </c>
      <c r="Q137" s="4" t="s">
        <v>26</v>
      </c>
      <c r="R137" s="4">
        <v>0</v>
      </c>
      <c r="S137" s="6">
        <v>0</v>
      </c>
      <c r="T137" s="6">
        <v>26</v>
      </c>
      <c r="U137" s="6">
        <v>64</v>
      </c>
      <c r="V137" s="6">
        <f>IF(ISERROR(VLOOKUP($S$137,'TAR FIN'!$A$1:$O$85,15,0)),0,VLOOKUP($S$137,'TAR FIN'!$A$1:$O$85,15,0))</f>
        <v>0</v>
      </c>
      <c r="W137" s="6">
        <f>IF(ISERROR(VLOOKUP($T$137,'TAR FIN'!$A$1:$O$85,15,0)),0,VLOOKUP($T$137,'TAR FIN'!$A$1:$O$85,15,0))</f>
        <v>255.06</v>
      </c>
      <c r="X137" s="6">
        <f>IF(ISERROR(VLOOKUP($U$137,'TAR FIN'!$A$1:$O$85,15,0)),0,VLOOKUP($U$137,'TAR FIN'!$A$1:$O$85,15,0))</f>
        <v>273.24</v>
      </c>
      <c r="Y137" s="6"/>
      <c r="Z137" s="6">
        <f ca="1">('TUSD BE'!$AM$33+'TUSD BF'!$AM$33+'TUSD CVA'!$AM$33)*(1-CUSTOS!$M$38)</f>
        <v>292.68592240777247</v>
      </c>
      <c r="AA137" s="6">
        <f>('TE BE'!$AB$23+'TE BF'!$AB$23+'TE CVA'!$AB$23)*(1-CUSTOS!$M$38)</f>
        <v>208.48457914810089</v>
      </c>
      <c r="AB137" s="6">
        <f>$K$137*$V$137</f>
        <v>0</v>
      </c>
      <c r="AC137" s="6">
        <f>$M$137*$W$137</f>
        <v>1.5303599999999999</v>
      </c>
      <c r="AD137" s="6">
        <f>$O$137*$X$137</f>
        <v>1.63944</v>
      </c>
      <c r="AE137" s="6">
        <f>$K$137*$Y$137</f>
        <v>0</v>
      </c>
      <c r="AF137" s="6">
        <f ca="1">$M$137*$Z$137</f>
        <v>1.7561155344466348</v>
      </c>
      <c r="AG137" s="6">
        <f>$O$137*$AA$137</f>
        <v>1.2509074748886053</v>
      </c>
    </row>
    <row r="138" spans="1:33" ht="11.25" customHeight="1" x14ac:dyDescent="0.3">
      <c r="A138" s="4" t="s">
        <v>21</v>
      </c>
      <c r="B138" s="4" t="s">
        <v>39</v>
      </c>
      <c r="C138" s="4" t="s">
        <v>23</v>
      </c>
      <c r="D138" s="4" t="s">
        <v>40</v>
      </c>
      <c r="E138" s="4" t="s">
        <v>48</v>
      </c>
      <c r="F138" s="4" t="s">
        <v>50</v>
      </c>
      <c r="G138" s="4" t="s">
        <v>25</v>
      </c>
      <c r="H138" s="4" t="s">
        <v>25</v>
      </c>
      <c r="I138" s="5">
        <v>44593</v>
      </c>
      <c r="J138" s="6">
        <v>0</v>
      </c>
      <c r="K138" s="6">
        <v>0</v>
      </c>
      <c r="L138" s="6">
        <v>5.0000000000000001E-3</v>
      </c>
      <c r="M138" s="6">
        <v>2E-3</v>
      </c>
      <c r="N138" s="6">
        <v>5.0000000000000001E-3</v>
      </c>
      <c r="O138" s="6">
        <v>2E-3</v>
      </c>
      <c r="P138" s="6">
        <v>0</v>
      </c>
      <c r="Q138" s="4" t="s">
        <v>26</v>
      </c>
      <c r="R138" s="4">
        <v>0</v>
      </c>
      <c r="S138" s="6">
        <v>0</v>
      </c>
      <c r="T138" s="6">
        <v>26</v>
      </c>
      <c r="U138" s="6">
        <v>64</v>
      </c>
      <c r="V138" s="6">
        <f>IF(ISERROR(VLOOKUP($S$138,'TAR FIN'!$A$1:$O$85,15,0)),0,VLOOKUP($S$138,'TAR FIN'!$A$1:$O$85,15,0))</f>
        <v>0</v>
      </c>
      <c r="W138" s="6">
        <f>IF(ISERROR(VLOOKUP($T$138,'TAR FIN'!$A$1:$O$85,15,0)),0,VLOOKUP($T$138,'TAR FIN'!$A$1:$O$85,15,0))</f>
        <v>255.06</v>
      </c>
      <c r="X138" s="6">
        <f>IF(ISERROR(VLOOKUP($U$138,'TAR FIN'!$A$1:$O$85,15,0)),0,VLOOKUP($U$138,'TAR FIN'!$A$1:$O$85,15,0))</f>
        <v>273.24</v>
      </c>
      <c r="Y138" s="6"/>
      <c r="Z138" s="6">
        <f ca="1">('TUSD BE'!$AM$33+'TUSD BF'!$AM$33+'TUSD CVA'!$AM$33)*(1-CUSTOS!$M$38)</f>
        <v>292.68592240777247</v>
      </c>
      <c r="AA138" s="6">
        <f>('TE BE'!$AB$23+'TE BF'!$AB$23+'TE CVA'!$AB$23)*(1-CUSTOS!$M$38)</f>
        <v>208.48457914810089</v>
      </c>
      <c r="AB138" s="6">
        <f>$K$138*$V$138</f>
        <v>0</v>
      </c>
      <c r="AC138" s="6">
        <f>$M$138*$W$138</f>
        <v>0.51012000000000002</v>
      </c>
      <c r="AD138" s="6">
        <f>$O$138*$X$138</f>
        <v>0.54648000000000008</v>
      </c>
      <c r="AE138" s="6">
        <f>$K$138*$Y$138</f>
        <v>0</v>
      </c>
      <c r="AF138" s="6">
        <f ca="1">$M$138*$Z$138</f>
        <v>0.58537184481554494</v>
      </c>
      <c r="AG138" s="6">
        <f>$O$138*$AA$138</f>
        <v>0.41696915829620179</v>
      </c>
    </row>
    <row r="139" spans="1:33" ht="11.25" customHeight="1" x14ac:dyDescent="0.3">
      <c r="A139" s="4" t="s">
        <v>21</v>
      </c>
      <c r="B139" s="4" t="s">
        <v>39</v>
      </c>
      <c r="C139" s="4" t="s">
        <v>23</v>
      </c>
      <c r="D139" s="4" t="s">
        <v>40</v>
      </c>
      <c r="E139" s="4" t="s">
        <v>48</v>
      </c>
      <c r="F139" s="4" t="s">
        <v>50</v>
      </c>
      <c r="G139" s="4" t="s">
        <v>25</v>
      </c>
      <c r="H139" s="4" t="s">
        <v>25</v>
      </c>
      <c r="I139" s="5">
        <v>44621</v>
      </c>
      <c r="J139" s="6">
        <v>0</v>
      </c>
      <c r="K139" s="6">
        <v>0</v>
      </c>
      <c r="L139" s="6">
        <v>3.0000000000000001E-3</v>
      </c>
      <c r="M139" s="6">
        <v>1.1999999999999999E-3</v>
      </c>
      <c r="N139" s="6">
        <v>3.0000000000000001E-3</v>
      </c>
      <c r="O139" s="6">
        <v>1.1999999999999999E-3</v>
      </c>
      <c r="P139" s="6">
        <v>0</v>
      </c>
      <c r="Q139" s="4" t="s">
        <v>26</v>
      </c>
      <c r="R139" s="4">
        <v>0</v>
      </c>
      <c r="S139" s="6">
        <v>0</v>
      </c>
      <c r="T139" s="6">
        <v>26</v>
      </c>
      <c r="U139" s="6">
        <v>64</v>
      </c>
      <c r="V139" s="6">
        <f>IF(ISERROR(VLOOKUP($S$139,'TAR FIN'!$A$1:$O$85,15,0)),0,VLOOKUP($S$139,'TAR FIN'!$A$1:$O$85,15,0))</f>
        <v>0</v>
      </c>
      <c r="W139" s="6">
        <f>IF(ISERROR(VLOOKUP($T$139,'TAR FIN'!$A$1:$O$85,15,0)),0,VLOOKUP($T$139,'TAR FIN'!$A$1:$O$85,15,0))</f>
        <v>255.06</v>
      </c>
      <c r="X139" s="6">
        <f>IF(ISERROR(VLOOKUP($U$139,'TAR FIN'!$A$1:$O$85,15,0)),0,VLOOKUP($U$139,'TAR FIN'!$A$1:$O$85,15,0))</f>
        <v>273.24</v>
      </c>
      <c r="Y139" s="6"/>
      <c r="Z139" s="6">
        <f ca="1">('TUSD BE'!$AM$33+'TUSD BF'!$AM$33+'TUSD CVA'!$AM$33)*(1-CUSTOS!$M$38)</f>
        <v>292.68592240777247</v>
      </c>
      <c r="AA139" s="6">
        <f>('TE BE'!$AB$23+'TE BF'!$AB$23+'TE CVA'!$AB$23)*(1-CUSTOS!$M$38)</f>
        <v>208.48457914810089</v>
      </c>
      <c r="AB139" s="6">
        <f>$K$139*$V$139</f>
        <v>0</v>
      </c>
      <c r="AC139" s="6">
        <f>$M$139*$W$139</f>
        <v>0.30607199999999996</v>
      </c>
      <c r="AD139" s="6">
        <f>$O$139*$X$139</f>
        <v>0.32788799999999996</v>
      </c>
      <c r="AE139" s="6">
        <f>$K$139*$Y$139</f>
        <v>0</v>
      </c>
      <c r="AF139" s="6">
        <f ca="1">$M$139*$Z$139</f>
        <v>0.35122310688932695</v>
      </c>
      <c r="AG139" s="6">
        <f>$O$139*$AA$139</f>
        <v>0.25018149497772108</v>
      </c>
    </row>
    <row r="140" spans="1:33" ht="11.25" customHeight="1" x14ac:dyDescent="0.3">
      <c r="A140" s="4" t="s">
        <v>21</v>
      </c>
      <c r="B140" s="4" t="s">
        <v>39</v>
      </c>
      <c r="C140" s="4" t="s">
        <v>23</v>
      </c>
      <c r="D140" s="4" t="s">
        <v>40</v>
      </c>
      <c r="E140" s="4" t="s">
        <v>48</v>
      </c>
      <c r="F140" s="4" t="s">
        <v>50</v>
      </c>
      <c r="G140" s="4" t="s">
        <v>25</v>
      </c>
      <c r="H140" s="4" t="s">
        <v>25</v>
      </c>
      <c r="I140" s="5">
        <v>44652</v>
      </c>
      <c r="J140" s="6">
        <v>0</v>
      </c>
      <c r="K140" s="6">
        <v>0</v>
      </c>
      <c r="L140" s="6">
        <v>4.0000000000000001E-3</v>
      </c>
      <c r="M140" s="6">
        <v>1.6000000000000001E-3</v>
      </c>
      <c r="N140" s="6">
        <v>4.0000000000000001E-3</v>
      </c>
      <c r="O140" s="6">
        <v>1.6000000000000001E-3</v>
      </c>
      <c r="P140" s="6">
        <v>0</v>
      </c>
      <c r="Q140" s="4" t="s">
        <v>26</v>
      </c>
      <c r="R140" s="4">
        <v>0</v>
      </c>
      <c r="S140" s="6">
        <v>0</v>
      </c>
      <c r="T140" s="6">
        <v>26</v>
      </c>
      <c r="U140" s="6">
        <v>64</v>
      </c>
      <c r="V140" s="6">
        <f>IF(ISERROR(VLOOKUP($S$140,'TAR FIN'!$A$1:$O$85,15,0)),0,VLOOKUP($S$140,'TAR FIN'!$A$1:$O$85,15,0))</f>
        <v>0</v>
      </c>
      <c r="W140" s="6">
        <f>IF(ISERROR(VLOOKUP($T$140,'TAR FIN'!$A$1:$O$85,15,0)),0,VLOOKUP($T$140,'TAR FIN'!$A$1:$O$85,15,0))</f>
        <v>255.06</v>
      </c>
      <c r="X140" s="6">
        <f>IF(ISERROR(VLOOKUP($U$140,'TAR FIN'!$A$1:$O$85,15,0)),0,VLOOKUP($U$140,'TAR FIN'!$A$1:$O$85,15,0))</f>
        <v>273.24</v>
      </c>
      <c r="Y140" s="6"/>
      <c r="Z140" s="6">
        <f ca="1">('TUSD BE'!$AM$33+'TUSD BF'!$AM$33+'TUSD CVA'!$AM$33)*(1-CUSTOS!$M$38)</f>
        <v>292.68592240777247</v>
      </c>
      <c r="AA140" s="6">
        <f>('TE BE'!$AB$23+'TE BF'!$AB$23+'TE CVA'!$AB$23)*(1-CUSTOS!$M$38)</f>
        <v>208.48457914810089</v>
      </c>
      <c r="AB140" s="6">
        <f>$K$140*$V$140</f>
        <v>0</v>
      </c>
      <c r="AC140" s="6">
        <f>$M$140*$W$140</f>
        <v>0.40809600000000001</v>
      </c>
      <c r="AD140" s="6">
        <f>$O$140*$X$140</f>
        <v>0.43718400000000002</v>
      </c>
      <c r="AE140" s="6">
        <f>$K$140*$Y$140</f>
        <v>0</v>
      </c>
      <c r="AF140" s="6">
        <f ca="1">$M$140*$Z$140</f>
        <v>0.46829747585243597</v>
      </c>
      <c r="AG140" s="6">
        <f>$O$140*$AA$140</f>
        <v>0.33357532663696143</v>
      </c>
    </row>
    <row r="141" spans="1:33" ht="11.25" customHeight="1" x14ac:dyDescent="0.3">
      <c r="A141" s="4" t="s">
        <v>21</v>
      </c>
      <c r="B141" s="4" t="s">
        <v>39</v>
      </c>
      <c r="C141" s="4" t="s">
        <v>23</v>
      </c>
      <c r="D141" s="4" t="s">
        <v>40</v>
      </c>
      <c r="E141" s="4" t="s">
        <v>25</v>
      </c>
      <c r="F141" s="4" t="s">
        <v>25</v>
      </c>
      <c r="G141" s="4" t="s">
        <v>25</v>
      </c>
      <c r="H141" s="4" t="s">
        <v>25</v>
      </c>
      <c r="I141" s="5">
        <v>44440</v>
      </c>
      <c r="J141" s="6">
        <v>0</v>
      </c>
      <c r="K141" s="6">
        <v>0</v>
      </c>
      <c r="L141" s="6">
        <v>428.94200000000001</v>
      </c>
      <c r="M141" s="6">
        <v>428.94200000000001</v>
      </c>
      <c r="N141" s="6">
        <v>428.94200000000001</v>
      </c>
      <c r="O141" s="6">
        <v>428.94200000000001</v>
      </c>
      <c r="P141" s="6">
        <v>945</v>
      </c>
      <c r="Q141" s="4" t="s">
        <v>26</v>
      </c>
      <c r="R141" s="4">
        <v>0</v>
      </c>
      <c r="S141" s="6">
        <v>0</v>
      </c>
      <c r="T141" s="6">
        <v>33</v>
      </c>
      <c r="U141" s="6">
        <v>64</v>
      </c>
      <c r="V141" s="6">
        <f>IF(ISERROR(VLOOKUP($S$141,'TAR FIN'!$A$1:$O$85,15,0)),0,VLOOKUP($S$141,'TAR FIN'!$A$1:$O$85,15,0))</f>
        <v>0</v>
      </c>
      <c r="W141" s="6">
        <f>IF(ISERROR(VLOOKUP($T$141,'TAR FIN'!$A$1:$O$85,15,0)),0,VLOOKUP($T$141,'TAR FIN'!$A$1:$O$85,15,0))</f>
        <v>267.20999999999998</v>
      </c>
      <c r="X141" s="6">
        <f>IF(ISERROR(VLOOKUP($U$141,'TAR FIN'!$A$1:$O$85,15,0)),0,VLOOKUP($U$141,'TAR FIN'!$A$1:$O$85,15,0))</f>
        <v>273.24</v>
      </c>
      <c r="Y141" s="6"/>
      <c r="Z141" s="6">
        <f ca="1">('TUSD BE'!$AM$33+'TUSD BF'!$AM$33+'TUSD CVA'!$AM$33)*(1-CUSTOS!$M$38)</f>
        <v>292.68592240777247</v>
      </c>
      <c r="AA141" s="6">
        <f>('TE BE'!$AB$23+'TE BF'!$AB$23+'TE CVA'!$AB$23)*(1-CUSTOS!$M$38)</f>
        <v>208.48457914810089</v>
      </c>
      <c r="AB141" s="6">
        <f>$K$141*$V$141</f>
        <v>0</v>
      </c>
      <c r="AC141" s="6">
        <f>$M$141*$W$141</f>
        <v>114617.59181999999</v>
      </c>
      <c r="AD141" s="6">
        <f>$O$141*$X$141</f>
        <v>117204.11208000001</v>
      </c>
      <c r="AE141" s="6">
        <f>$K$141*$Y$141</f>
        <v>0</v>
      </c>
      <c r="AF141" s="6">
        <f ca="1">$M$141*$Z$141</f>
        <v>125545.28492943474</v>
      </c>
      <c r="AG141" s="6">
        <f>$O$141*$AA$141</f>
        <v>89427.792348944698</v>
      </c>
    </row>
    <row r="142" spans="1:33" ht="11.25" customHeight="1" x14ac:dyDescent="0.3">
      <c r="A142" s="4" t="s">
        <v>41</v>
      </c>
      <c r="B142" s="4" t="s">
        <v>39</v>
      </c>
      <c r="C142" s="4" t="s">
        <v>23</v>
      </c>
      <c r="D142" s="4" t="s">
        <v>40</v>
      </c>
      <c r="E142" s="4" t="s">
        <v>25</v>
      </c>
      <c r="F142" s="4" t="s">
        <v>25</v>
      </c>
      <c r="G142" s="4" t="s">
        <v>25</v>
      </c>
      <c r="H142" s="4" t="s">
        <v>25</v>
      </c>
      <c r="I142" s="5">
        <v>44440</v>
      </c>
      <c r="J142" s="6">
        <v>0</v>
      </c>
      <c r="K142" s="6">
        <v>0</v>
      </c>
      <c r="L142" s="6">
        <v>23.366</v>
      </c>
      <c r="M142" s="6">
        <v>23.366</v>
      </c>
      <c r="N142" s="6">
        <v>23.366</v>
      </c>
      <c r="O142" s="6">
        <v>23.366</v>
      </c>
      <c r="P142" s="6">
        <v>15</v>
      </c>
      <c r="Q142" s="4" t="s">
        <v>26</v>
      </c>
      <c r="R142" s="4">
        <v>0</v>
      </c>
      <c r="S142" s="6">
        <v>0</v>
      </c>
      <c r="T142" s="6">
        <v>33</v>
      </c>
      <c r="U142" s="6">
        <v>64</v>
      </c>
      <c r="V142" s="6">
        <f>IF(ISERROR(VLOOKUP($S$142,'TAR FIN'!$A$1:$O$85,15,0)),0,VLOOKUP($S$142,'TAR FIN'!$A$1:$O$85,15,0))</f>
        <v>0</v>
      </c>
      <c r="W142" s="6">
        <f>IF(ISERROR(VLOOKUP($T$142,'TAR FIN'!$A$1:$O$85,15,0)),0,VLOOKUP($T$142,'TAR FIN'!$A$1:$O$85,15,0))</f>
        <v>267.20999999999998</v>
      </c>
      <c r="X142" s="6">
        <f>IF(ISERROR(VLOOKUP($U$142,'TAR FIN'!$A$1:$O$85,15,0)),0,VLOOKUP($U$142,'TAR FIN'!$A$1:$O$85,15,0))</f>
        <v>273.24</v>
      </c>
      <c r="Y142" s="6"/>
      <c r="Z142" s="6">
        <f ca="1">('TUSD BE'!$AM$33+'TUSD BF'!$AM$33+'TUSD CVA'!$AM$33)*(1-CUSTOS!$M$38)</f>
        <v>292.68592240777247</v>
      </c>
      <c r="AA142" s="6">
        <f>('TE BE'!$AB$23+'TE BF'!$AB$23+'TE CVA'!$AB$23)*(1-CUSTOS!$M$38)</f>
        <v>208.48457914810089</v>
      </c>
      <c r="AB142" s="6">
        <f>$K$142*$V$142</f>
        <v>0</v>
      </c>
      <c r="AC142" s="6">
        <f>$M$142*$W$142</f>
        <v>6243.6288599999998</v>
      </c>
      <c r="AD142" s="6">
        <f>$O$142*$X$142</f>
        <v>6384.5258400000002</v>
      </c>
      <c r="AE142" s="6">
        <f>$K$142*$Y$142</f>
        <v>0</v>
      </c>
      <c r="AF142" s="6">
        <f ca="1">$M$142*$Z$142</f>
        <v>6838.8992629800114</v>
      </c>
      <c r="AG142" s="6">
        <f>$O$142*$AA$142</f>
        <v>4871.4506763745258</v>
      </c>
    </row>
    <row r="143" spans="1:33" ht="11.25" customHeight="1" x14ac:dyDescent="0.3">
      <c r="A143" s="4" t="s">
        <v>21</v>
      </c>
      <c r="B143" s="4" t="s">
        <v>39</v>
      </c>
      <c r="C143" s="4" t="s">
        <v>23</v>
      </c>
      <c r="D143" s="4" t="s">
        <v>40</v>
      </c>
      <c r="E143" s="4" t="s">
        <v>25</v>
      </c>
      <c r="F143" s="4" t="s">
        <v>25</v>
      </c>
      <c r="G143" s="4" t="s">
        <v>25</v>
      </c>
      <c r="H143" s="4" t="s">
        <v>25</v>
      </c>
      <c r="I143" s="5">
        <v>44470</v>
      </c>
      <c r="J143" s="6">
        <v>0</v>
      </c>
      <c r="K143" s="6">
        <v>0</v>
      </c>
      <c r="L143" s="6">
        <v>443.80099999999999</v>
      </c>
      <c r="M143" s="6">
        <v>443.80099999999999</v>
      </c>
      <c r="N143" s="6">
        <v>443.80099999999999</v>
      </c>
      <c r="O143" s="6">
        <v>443.80099999999999</v>
      </c>
      <c r="P143" s="6">
        <v>949</v>
      </c>
      <c r="Q143" s="4" t="s">
        <v>26</v>
      </c>
      <c r="R143" s="4">
        <v>0</v>
      </c>
      <c r="S143" s="6">
        <v>0</v>
      </c>
      <c r="T143" s="6">
        <v>33</v>
      </c>
      <c r="U143" s="6">
        <v>64</v>
      </c>
      <c r="V143" s="6">
        <f>IF(ISERROR(VLOOKUP($S$143,'TAR FIN'!$A$1:$O$85,15,0)),0,VLOOKUP($S$143,'TAR FIN'!$A$1:$O$85,15,0))</f>
        <v>0</v>
      </c>
      <c r="W143" s="6">
        <f>IF(ISERROR(VLOOKUP($T$143,'TAR FIN'!$A$1:$O$85,15,0)),0,VLOOKUP($T$143,'TAR FIN'!$A$1:$O$85,15,0))</f>
        <v>267.20999999999998</v>
      </c>
      <c r="X143" s="6">
        <f>IF(ISERROR(VLOOKUP($U$143,'TAR FIN'!$A$1:$O$85,15,0)),0,VLOOKUP($U$143,'TAR FIN'!$A$1:$O$85,15,0))</f>
        <v>273.24</v>
      </c>
      <c r="Y143" s="6"/>
      <c r="Z143" s="6">
        <f ca="1">('TUSD BE'!$AM$33+'TUSD BF'!$AM$33+'TUSD CVA'!$AM$33)*(1-CUSTOS!$M$38)</f>
        <v>292.68592240777247</v>
      </c>
      <c r="AA143" s="6">
        <f>('TE BE'!$AB$23+'TE BF'!$AB$23+'TE CVA'!$AB$23)*(1-CUSTOS!$M$38)</f>
        <v>208.48457914810089</v>
      </c>
      <c r="AB143" s="6">
        <f>$K$143*$V$143</f>
        <v>0</v>
      </c>
      <c r="AC143" s="6">
        <f>$M$143*$W$143</f>
        <v>118588.06520999999</v>
      </c>
      <c r="AD143" s="6">
        <f>$O$143*$X$143</f>
        <v>121264.18524000001</v>
      </c>
      <c r="AE143" s="6">
        <f>$K$143*$Y$143</f>
        <v>0</v>
      </c>
      <c r="AF143" s="6">
        <f ca="1">$M$143*$Z$143</f>
        <v>129894.30505049182</v>
      </c>
      <c r="AG143" s="6">
        <f>$O$143*$AA$143</f>
        <v>92525.664710506317</v>
      </c>
    </row>
    <row r="144" spans="1:33" ht="11.25" customHeight="1" x14ac:dyDescent="0.3">
      <c r="A144" s="4" t="s">
        <v>51</v>
      </c>
      <c r="B144" s="4" t="s">
        <v>39</v>
      </c>
      <c r="C144" s="4" t="s">
        <v>23</v>
      </c>
      <c r="D144" s="4" t="s">
        <v>40</v>
      </c>
      <c r="E144" s="4" t="s">
        <v>25</v>
      </c>
      <c r="F144" s="4" t="s">
        <v>25</v>
      </c>
      <c r="G144" s="4" t="s">
        <v>25</v>
      </c>
      <c r="H144" s="4" t="s">
        <v>25</v>
      </c>
      <c r="I144" s="5">
        <v>44470</v>
      </c>
      <c r="J144" s="6">
        <v>0</v>
      </c>
      <c r="K144" s="6">
        <v>0</v>
      </c>
      <c r="L144" s="6">
        <v>-0.745</v>
      </c>
      <c r="M144" s="6">
        <v>-0.745</v>
      </c>
      <c r="N144" s="6">
        <v>-0.745</v>
      </c>
      <c r="O144" s="6">
        <v>-0.745</v>
      </c>
      <c r="P144" s="6">
        <v>0</v>
      </c>
      <c r="Q144" s="4" t="s">
        <v>26</v>
      </c>
      <c r="R144" s="4">
        <v>0</v>
      </c>
      <c r="S144" s="6">
        <v>0</v>
      </c>
      <c r="T144" s="6">
        <v>33</v>
      </c>
      <c r="U144" s="6">
        <v>64</v>
      </c>
      <c r="V144" s="6">
        <f>IF(ISERROR(VLOOKUP($S$144,'TAR FIN'!$A$1:$O$85,15,0)),0,VLOOKUP($S$144,'TAR FIN'!$A$1:$O$85,15,0))</f>
        <v>0</v>
      </c>
      <c r="W144" s="6">
        <f>IF(ISERROR(VLOOKUP($T$144,'TAR FIN'!$A$1:$O$85,15,0)),0,VLOOKUP($T$144,'TAR FIN'!$A$1:$O$85,15,0))</f>
        <v>267.20999999999998</v>
      </c>
      <c r="X144" s="6">
        <f>IF(ISERROR(VLOOKUP($U$144,'TAR FIN'!$A$1:$O$85,15,0)),0,VLOOKUP($U$144,'TAR FIN'!$A$1:$O$85,15,0))</f>
        <v>273.24</v>
      </c>
      <c r="Y144" s="6"/>
      <c r="Z144" s="6">
        <f ca="1">('TUSD BE'!$AM$33+'TUSD BF'!$AM$33+'TUSD CVA'!$AM$33)*(1-CUSTOS!$M$38)</f>
        <v>292.68592240777247</v>
      </c>
      <c r="AA144" s="6">
        <f>('TE BE'!$AB$23+'TE BF'!$AB$23+'TE CVA'!$AB$23)*(1-CUSTOS!$M$38)</f>
        <v>208.48457914810089</v>
      </c>
      <c r="AB144" s="6">
        <f>$K$144*$V$144</f>
        <v>0</v>
      </c>
      <c r="AC144" s="6">
        <f>$M$144*$W$144</f>
        <v>-199.07144999999997</v>
      </c>
      <c r="AD144" s="6">
        <f>$O$144*$X$144</f>
        <v>-203.56380000000001</v>
      </c>
      <c r="AE144" s="6">
        <f>$K$144*$Y$144</f>
        <v>0</v>
      </c>
      <c r="AF144" s="6">
        <f ca="1">$M$144*$Z$144</f>
        <v>-218.05101219379048</v>
      </c>
      <c r="AG144" s="6">
        <f>$O$144*$AA$144</f>
        <v>-155.32101146533518</v>
      </c>
    </row>
    <row r="145" spans="1:33" ht="11.25" customHeight="1" x14ac:dyDescent="0.3">
      <c r="A145" s="4" t="s">
        <v>41</v>
      </c>
      <c r="B145" s="4" t="s">
        <v>39</v>
      </c>
      <c r="C145" s="4" t="s">
        <v>23</v>
      </c>
      <c r="D145" s="4" t="s">
        <v>40</v>
      </c>
      <c r="E145" s="4" t="s">
        <v>25</v>
      </c>
      <c r="F145" s="4" t="s">
        <v>25</v>
      </c>
      <c r="G145" s="4" t="s">
        <v>25</v>
      </c>
      <c r="H145" s="4" t="s">
        <v>25</v>
      </c>
      <c r="I145" s="5">
        <v>44470</v>
      </c>
      <c r="J145" s="6">
        <v>0</v>
      </c>
      <c r="K145" s="6">
        <v>0</v>
      </c>
      <c r="L145" s="6">
        <v>18.138999999999999</v>
      </c>
      <c r="M145" s="6">
        <v>18.138999999999999</v>
      </c>
      <c r="N145" s="6">
        <v>18.138999999999999</v>
      </c>
      <c r="O145" s="6">
        <v>18.138999999999999</v>
      </c>
      <c r="P145" s="6">
        <v>15</v>
      </c>
      <c r="Q145" s="4" t="s">
        <v>26</v>
      </c>
      <c r="R145" s="4">
        <v>0</v>
      </c>
      <c r="S145" s="6">
        <v>0</v>
      </c>
      <c r="T145" s="6">
        <v>33</v>
      </c>
      <c r="U145" s="6">
        <v>64</v>
      </c>
      <c r="V145" s="6">
        <f>IF(ISERROR(VLOOKUP($S$145,'TAR FIN'!$A$1:$O$85,15,0)),0,VLOOKUP($S$145,'TAR FIN'!$A$1:$O$85,15,0))</f>
        <v>0</v>
      </c>
      <c r="W145" s="6">
        <f>IF(ISERROR(VLOOKUP($T$145,'TAR FIN'!$A$1:$O$85,15,0)),0,VLOOKUP($T$145,'TAR FIN'!$A$1:$O$85,15,0))</f>
        <v>267.20999999999998</v>
      </c>
      <c r="X145" s="6">
        <f>IF(ISERROR(VLOOKUP($U$145,'TAR FIN'!$A$1:$O$85,15,0)),0,VLOOKUP($U$145,'TAR FIN'!$A$1:$O$85,15,0))</f>
        <v>273.24</v>
      </c>
      <c r="Y145" s="6"/>
      <c r="Z145" s="6">
        <f ca="1">('TUSD BE'!$AM$33+'TUSD BF'!$AM$33+'TUSD CVA'!$AM$33)*(1-CUSTOS!$M$38)</f>
        <v>292.68592240777247</v>
      </c>
      <c r="AA145" s="6">
        <f>('TE BE'!$AB$23+'TE BF'!$AB$23+'TE CVA'!$AB$23)*(1-CUSTOS!$M$38)</f>
        <v>208.48457914810089</v>
      </c>
      <c r="AB145" s="6">
        <f>$K$145*$V$145</f>
        <v>0</v>
      </c>
      <c r="AC145" s="6">
        <f>$M$145*$W$145</f>
        <v>4846.9221899999993</v>
      </c>
      <c r="AD145" s="6">
        <f>$O$145*$X$145</f>
        <v>4956.3003600000002</v>
      </c>
      <c r="AE145" s="6">
        <f>$K$145*$Y$145</f>
        <v>0</v>
      </c>
      <c r="AF145" s="6">
        <f ca="1">$M$145*$Z$145</f>
        <v>5309.029946554585</v>
      </c>
      <c r="AG145" s="6">
        <f>$O$145*$AA$145</f>
        <v>3781.7017811674018</v>
      </c>
    </row>
    <row r="146" spans="1:33" ht="11.25" customHeight="1" x14ac:dyDescent="0.3">
      <c r="A146" s="4" t="s">
        <v>21</v>
      </c>
      <c r="B146" s="4" t="s">
        <v>39</v>
      </c>
      <c r="C146" s="4" t="s">
        <v>23</v>
      </c>
      <c r="D146" s="4" t="s">
        <v>40</v>
      </c>
      <c r="E146" s="4" t="s">
        <v>25</v>
      </c>
      <c r="F146" s="4" t="s">
        <v>25</v>
      </c>
      <c r="G146" s="4" t="s">
        <v>25</v>
      </c>
      <c r="H146" s="4" t="s">
        <v>25</v>
      </c>
      <c r="I146" s="5">
        <v>44501</v>
      </c>
      <c r="J146" s="6">
        <v>0</v>
      </c>
      <c r="K146" s="6">
        <v>0</v>
      </c>
      <c r="L146" s="6">
        <v>529.39200000000005</v>
      </c>
      <c r="M146" s="6">
        <v>529.39200000000005</v>
      </c>
      <c r="N146" s="6">
        <v>529.39200000000005</v>
      </c>
      <c r="O146" s="6">
        <v>529.39200000000005</v>
      </c>
      <c r="P146" s="6">
        <v>950</v>
      </c>
      <c r="Q146" s="4" t="s">
        <v>26</v>
      </c>
      <c r="R146" s="4">
        <v>0</v>
      </c>
      <c r="S146" s="6">
        <v>0</v>
      </c>
      <c r="T146" s="6">
        <v>33</v>
      </c>
      <c r="U146" s="6">
        <v>64</v>
      </c>
      <c r="V146" s="6">
        <f>IF(ISERROR(VLOOKUP($S$146,'TAR FIN'!$A$1:$O$85,15,0)),0,VLOOKUP($S$146,'TAR FIN'!$A$1:$O$85,15,0))</f>
        <v>0</v>
      </c>
      <c r="W146" s="6">
        <f>IF(ISERROR(VLOOKUP($T$146,'TAR FIN'!$A$1:$O$85,15,0)),0,VLOOKUP($T$146,'TAR FIN'!$A$1:$O$85,15,0))</f>
        <v>267.20999999999998</v>
      </c>
      <c r="X146" s="6">
        <f>IF(ISERROR(VLOOKUP($U$146,'TAR FIN'!$A$1:$O$85,15,0)),0,VLOOKUP($U$146,'TAR FIN'!$A$1:$O$85,15,0))</f>
        <v>273.24</v>
      </c>
      <c r="Y146" s="6"/>
      <c r="Z146" s="6">
        <f ca="1">('TUSD BE'!$AM$33+'TUSD BF'!$AM$33+'TUSD CVA'!$AM$33)*(1-CUSTOS!$M$38)</f>
        <v>292.68592240777247</v>
      </c>
      <c r="AA146" s="6">
        <f>('TE BE'!$AB$23+'TE BF'!$AB$23+'TE CVA'!$AB$23)*(1-CUSTOS!$M$38)</f>
        <v>208.48457914810089</v>
      </c>
      <c r="AB146" s="6">
        <f>$K$146*$V$146</f>
        <v>0</v>
      </c>
      <c r="AC146" s="6">
        <f>$M$146*$W$146</f>
        <v>141458.83632</v>
      </c>
      <c r="AD146" s="6">
        <f>$O$146*$X$146</f>
        <v>144651.07008</v>
      </c>
      <c r="AE146" s="6">
        <f>$K$146*$Y$146</f>
        <v>0</v>
      </c>
      <c r="AF146" s="6">
        <f ca="1">$M$146*$Z$146</f>
        <v>154945.5858352955</v>
      </c>
      <c r="AG146" s="6">
        <f>$O$146*$AA$146</f>
        <v>110370.06832437144</v>
      </c>
    </row>
    <row r="147" spans="1:33" ht="11.25" customHeight="1" x14ac:dyDescent="0.3">
      <c r="A147" s="4" t="s">
        <v>41</v>
      </c>
      <c r="B147" s="4" t="s">
        <v>39</v>
      </c>
      <c r="C147" s="4" t="s">
        <v>23</v>
      </c>
      <c r="D147" s="4" t="s">
        <v>40</v>
      </c>
      <c r="E147" s="4" t="s">
        <v>25</v>
      </c>
      <c r="F147" s="4" t="s">
        <v>25</v>
      </c>
      <c r="G147" s="4" t="s">
        <v>25</v>
      </c>
      <c r="H147" s="4" t="s">
        <v>25</v>
      </c>
      <c r="I147" s="5">
        <v>44501</v>
      </c>
      <c r="J147" s="6">
        <v>0</v>
      </c>
      <c r="K147" s="6">
        <v>0</v>
      </c>
      <c r="L147" s="6">
        <v>25.25</v>
      </c>
      <c r="M147" s="6">
        <v>25.25</v>
      </c>
      <c r="N147" s="6">
        <v>25.25</v>
      </c>
      <c r="O147" s="6">
        <v>25.25</v>
      </c>
      <c r="P147" s="6">
        <v>16</v>
      </c>
      <c r="Q147" s="4" t="s">
        <v>26</v>
      </c>
      <c r="R147" s="4">
        <v>0</v>
      </c>
      <c r="S147" s="6">
        <v>0</v>
      </c>
      <c r="T147" s="6">
        <v>33</v>
      </c>
      <c r="U147" s="6">
        <v>64</v>
      </c>
      <c r="V147" s="6">
        <f>IF(ISERROR(VLOOKUP($S$147,'TAR FIN'!$A$1:$O$85,15,0)),0,VLOOKUP($S$147,'TAR FIN'!$A$1:$O$85,15,0))</f>
        <v>0</v>
      </c>
      <c r="W147" s="6">
        <f>IF(ISERROR(VLOOKUP($T$147,'TAR FIN'!$A$1:$O$85,15,0)),0,VLOOKUP($T$147,'TAR FIN'!$A$1:$O$85,15,0))</f>
        <v>267.20999999999998</v>
      </c>
      <c r="X147" s="6">
        <f>IF(ISERROR(VLOOKUP($U$147,'TAR FIN'!$A$1:$O$85,15,0)),0,VLOOKUP($U$147,'TAR FIN'!$A$1:$O$85,15,0))</f>
        <v>273.24</v>
      </c>
      <c r="Y147" s="6"/>
      <c r="Z147" s="6">
        <f ca="1">('TUSD BE'!$AM$33+'TUSD BF'!$AM$33+'TUSD CVA'!$AM$33)*(1-CUSTOS!$M$38)</f>
        <v>292.68592240777247</v>
      </c>
      <c r="AA147" s="6">
        <f>('TE BE'!$AB$23+'TE BF'!$AB$23+'TE CVA'!$AB$23)*(1-CUSTOS!$M$38)</f>
        <v>208.48457914810089</v>
      </c>
      <c r="AB147" s="6">
        <f>$K$147*$V$147</f>
        <v>0</v>
      </c>
      <c r="AC147" s="6">
        <f>$M$147*$W$147</f>
        <v>6747.0524999999998</v>
      </c>
      <c r="AD147" s="6">
        <f>$O$147*$X$147</f>
        <v>6899.31</v>
      </c>
      <c r="AE147" s="6">
        <f>$K$147*$Y$147</f>
        <v>0</v>
      </c>
      <c r="AF147" s="6">
        <f ca="1">$M$147*$Z$147</f>
        <v>7390.3195407962548</v>
      </c>
      <c r="AG147" s="6">
        <f>$O$147*$AA$147</f>
        <v>5264.2356234895478</v>
      </c>
    </row>
    <row r="148" spans="1:33" ht="11.25" customHeight="1" x14ac:dyDescent="0.3">
      <c r="A148" s="4" t="s">
        <v>21</v>
      </c>
      <c r="B148" s="4" t="s">
        <v>39</v>
      </c>
      <c r="C148" s="4" t="s">
        <v>23</v>
      </c>
      <c r="D148" s="4" t="s">
        <v>40</v>
      </c>
      <c r="E148" s="4" t="s">
        <v>25</v>
      </c>
      <c r="F148" s="4" t="s">
        <v>25</v>
      </c>
      <c r="G148" s="4" t="s">
        <v>25</v>
      </c>
      <c r="H148" s="4" t="s">
        <v>25</v>
      </c>
      <c r="I148" s="5">
        <v>44531</v>
      </c>
      <c r="J148" s="6">
        <v>0</v>
      </c>
      <c r="K148" s="6">
        <v>0</v>
      </c>
      <c r="L148" s="6">
        <v>478.95499999999998</v>
      </c>
      <c r="M148" s="6">
        <v>478.95499999999998</v>
      </c>
      <c r="N148" s="6">
        <v>478.95499999999998</v>
      </c>
      <c r="O148" s="6">
        <v>478.95499999999998</v>
      </c>
      <c r="P148" s="6">
        <v>946</v>
      </c>
      <c r="Q148" s="4" t="s">
        <v>26</v>
      </c>
      <c r="R148" s="4">
        <v>0</v>
      </c>
      <c r="S148" s="6">
        <v>0</v>
      </c>
      <c r="T148" s="6">
        <v>33</v>
      </c>
      <c r="U148" s="6">
        <v>64</v>
      </c>
      <c r="V148" s="6">
        <f>IF(ISERROR(VLOOKUP($S$148,'TAR FIN'!$A$1:$O$85,15,0)),0,VLOOKUP($S$148,'TAR FIN'!$A$1:$O$85,15,0))</f>
        <v>0</v>
      </c>
      <c r="W148" s="6">
        <f>IF(ISERROR(VLOOKUP($T$148,'TAR FIN'!$A$1:$O$85,15,0)),0,VLOOKUP($T$148,'TAR FIN'!$A$1:$O$85,15,0))</f>
        <v>267.20999999999998</v>
      </c>
      <c r="X148" s="6">
        <f>IF(ISERROR(VLOOKUP($U$148,'TAR FIN'!$A$1:$O$85,15,0)),0,VLOOKUP($U$148,'TAR FIN'!$A$1:$O$85,15,0))</f>
        <v>273.24</v>
      </c>
      <c r="Y148" s="6"/>
      <c r="Z148" s="6">
        <f ca="1">('TUSD BE'!$AM$33+'TUSD BF'!$AM$33+'TUSD CVA'!$AM$33)*(1-CUSTOS!$M$38)</f>
        <v>292.68592240777247</v>
      </c>
      <c r="AA148" s="6">
        <f>('TE BE'!$AB$23+'TE BF'!$AB$23+'TE CVA'!$AB$23)*(1-CUSTOS!$M$38)</f>
        <v>208.48457914810089</v>
      </c>
      <c r="AB148" s="6">
        <f>$K$148*$V$148</f>
        <v>0</v>
      </c>
      <c r="AC148" s="6">
        <f>$M$148*$W$148</f>
        <v>127981.56554999998</v>
      </c>
      <c r="AD148" s="6">
        <f>$O$148*$X$148</f>
        <v>130869.6642</v>
      </c>
      <c r="AE148" s="6">
        <f>$K$148*$Y$148</f>
        <v>0</v>
      </c>
      <c r="AF148" s="6">
        <f ca="1">$M$148*$Z$148</f>
        <v>140183.38596681465</v>
      </c>
      <c r="AG148" s="6">
        <f>$O$148*$AA$148</f>
        <v>99854.731605878653</v>
      </c>
    </row>
    <row r="149" spans="1:33" ht="11.25" customHeight="1" x14ac:dyDescent="0.3">
      <c r="A149" s="4" t="s">
        <v>41</v>
      </c>
      <c r="B149" s="4" t="s">
        <v>39</v>
      </c>
      <c r="C149" s="4" t="s">
        <v>23</v>
      </c>
      <c r="D149" s="4" t="s">
        <v>40</v>
      </c>
      <c r="E149" s="4" t="s">
        <v>25</v>
      </c>
      <c r="F149" s="4" t="s">
        <v>25</v>
      </c>
      <c r="G149" s="4" t="s">
        <v>25</v>
      </c>
      <c r="H149" s="4" t="s">
        <v>25</v>
      </c>
      <c r="I149" s="5">
        <v>44531</v>
      </c>
      <c r="J149" s="6">
        <v>0</v>
      </c>
      <c r="K149" s="6">
        <v>0</v>
      </c>
      <c r="L149" s="6">
        <v>15.506</v>
      </c>
      <c r="M149" s="6">
        <v>15.506</v>
      </c>
      <c r="N149" s="6">
        <v>15.506</v>
      </c>
      <c r="O149" s="6">
        <v>15.506</v>
      </c>
      <c r="P149" s="6">
        <v>19</v>
      </c>
      <c r="Q149" s="4" t="s">
        <v>26</v>
      </c>
      <c r="R149" s="4">
        <v>0</v>
      </c>
      <c r="S149" s="6">
        <v>0</v>
      </c>
      <c r="T149" s="6">
        <v>33</v>
      </c>
      <c r="U149" s="6">
        <v>64</v>
      </c>
      <c r="V149" s="6">
        <f>IF(ISERROR(VLOOKUP($S$149,'TAR FIN'!$A$1:$O$85,15,0)),0,VLOOKUP($S$149,'TAR FIN'!$A$1:$O$85,15,0))</f>
        <v>0</v>
      </c>
      <c r="W149" s="6">
        <f>IF(ISERROR(VLOOKUP($T$149,'TAR FIN'!$A$1:$O$85,15,0)),0,VLOOKUP($T$149,'TAR FIN'!$A$1:$O$85,15,0))</f>
        <v>267.20999999999998</v>
      </c>
      <c r="X149" s="6">
        <f>IF(ISERROR(VLOOKUP($U$149,'TAR FIN'!$A$1:$O$85,15,0)),0,VLOOKUP($U$149,'TAR FIN'!$A$1:$O$85,15,0))</f>
        <v>273.24</v>
      </c>
      <c r="Y149" s="6"/>
      <c r="Z149" s="6">
        <f ca="1">('TUSD BE'!$AM$33+'TUSD BF'!$AM$33+'TUSD CVA'!$AM$33)*(1-CUSTOS!$M$38)</f>
        <v>292.68592240777247</v>
      </c>
      <c r="AA149" s="6">
        <f>('TE BE'!$AB$23+'TE BF'!$AB$23+'TE CVA'!$AB$23)*(1-CUSTOS!$M$38)</f>
        <v>208.48457914810089</v>
      </c>
      <c r="AB149" s="6">
        <f>$K$149*$V$149</f>
        <v>0</v>
      </c>
      <c r="AC149" s="6">
        <f>$M$149*$W$149</f>
        <v>4143.35826</v>
      </c>
      <c r="AD149" s="6">
        <f>$O$149*$X$149</f>
        <v>4236.8594400000002</v>
      </c>
      <c r="AE149" s="6">
        <f>$K$149*$Y$149</f>
        <v>0</v>
      </c>
      <c r="AF149" s="6">
        <f ca="1">$M$149*$Z$149</f>
        <v>4538.3879128549197</v>
      </c>
      <c r="AG149" s="6">
        <f>$O$149*$AA$149</f>
        <v>3232.7618842704524</v>
      </c>
    </row>
    <row r="150" spans="1:33" ht="11.25" customHeight="1" x14ac:dyDescent="0.3">
      <c r="A150" s="4" t="s">
        <v>21</v>
      </c>
      <c r="B150" s="4" t="s">
        <v>39</v>
      </c>
      <c r="C150" s="4" t="s">
        <v>23</v>
      </c>
      <c r="D150" s="4" t="s">
        <v>40</v>
      </c>
      <c r="E150" s="4" t="s">
        <v>25</v>
      </c>
      <c r="F150" s="4" t="s">
        <v>25</v>
      </c>
      <c r="G150" s="4" t="s">
        <v>25</v>
      </c>
      <c r="H150" s="4" t="s">
        <v>25</v>
      </c>
      <c r="I150" s="5">
        <v>44562</v>
      </c>
      <c r="J150" s="6">
        <v>0</v>
      </c>
      <c r="K150" s="6">
        <v>0</v>
      </c>
      <c r="L150" s="6">
        <v>520.29399999999998</v>
      </c>
      <c r="M150" s="6">
        <v>520.29399999999998</v>
      </c>
      <c r="N150" s="6">
        <v>520.29399999999998</v>
      </c>
      <c r="O150" s="6">
        <v>520.29399999999998</v>
      </c>
      <c r="P150" s="6">
        <v>945</v>
      </c>
      <c r="Q150" s="4" t="s">
        <v>26</v>
      </c>
      <c r="R150" s="4">
        <v>0</v>
      </c>
      <c r="S150" s="6">
        <v>0</v>
      </c>
      <c r="T150" s="6">
        <v>33</v>
      </c>
      <c r="U150" s="6">
        <v>64</v>
      </c>
      <c r="V150" s="6">
        <f>IF(ISERROR(VLOOKUP($S$150,'TAR FIN'!$A$1:$O$85,15,0)),0,VLOOKUP($S$150,'TAR FIN'!$A$1:$O$85,15,0))</f>
        <v>0</v>
      </c>
      <c r="W150" s="6">
        <f>IF(ISERROR(VLOOKUP($T$150,'TAR FIN'!$A$1:$O$85,15,0)),0,VLOOKUP($T$150,'TAR FIN'!$A$1:$O$85,15,0))</f>
        <v>267.20999999999998</v>
      </c>
      <c r="X150" s="6">
        <f>IF(ISERROR(VLOOKUP($U$150,'TAR FIN'!$A$1:$O$85,15,0)),0,VLOOKUP($U$150,'TAR FIN'!$A$1:$O$85,15,0))</f>
        <v>273.24</v>
      </c>
      <c r="Y150" s="6"/>
      <c r="Z150" s="6">
        <f ca="1">('TUSD BE'!$AM$33+'TUSD BF'!$AM$33+'TUSD CVA'!$AM$33)*(1-CUSTOS!$M$38)</f>
        <v>292.68592240777247</v>
      </c>
      <c r="AA150" s="6">
        <f>('TE BE'!$AB$23+'TE BF'!$AB$23+'TE CVA'!$AB$23)*(1-CUSTOS!$M$38)</f>
        <v>208.48457914810089</v>
      </c>
      <c r="AB150" s="6">
        <f>$K$150*$V$150</f>
        <v>0</v>
      </c>
      <c r="AC150" s="6">
        <f>$M$150*$W$150</f>
        <v>139027.75973999998</v>
      </c>
      <c r="AD150" s="6">
        <f>$O$150*$X$150</f>
        <v>142165.13256</v>
      </c>
      <c r="AE150" s="6">
        <f>$K$150*$Y$150</f>
        <v>0</v>
      </c>
      <c r="AF150" s="6">
        <f ca="1">$M$150*$Z$150</f>
        <v>152282.72931322956</v>
      </c>
      <c r="AG150" s="6">
        <f>$O$150*$AA$150</f>
        <v>108473.275623282</v>
      </c>
    </row>
    <row r="151" spans="1:33" ht="11.25" customHeight="1" x14ac:dyDescent="0.3">
      <c r="A151" s="4" t="s">
        <v>41</v>
      </c>
      <c r="B151" s="4" t="s">
        <v>39</v>
      </c>
      <c r="C151" s="4" t="s">
        <v>23</v>
      </c>
      <c r="D151" s="4" t="s">
        <v>40</v>
      </c>
      <c r="E151" s="4" t="s">
        <v>25</v>
      </c>
      <c r="F151" s="4" t="s">
        <v>25</v>
      </c>
      <c r="G151" s="4" t="s">
        <v>25</v>
      </c>
      <c r="H151" s="4" t="s">
        <v>25</v>
      </c>
      <c r="I151" s="5">
        <v>44562</v>
      </c>
      <c r="J151" s="6">
        <v>0</v>
      </c>
      <c r="K151" s="6">
        <v>0</v>
      </c>
      <c r="L151" s="6">
        <v>51.01</v>
      </c>
      <c r="M151" s="6">
        <v>51.01</v>
      </c>
      <c r="N151" s="6">
        <v>51.01</v>
      </c>
      <c r="O151" s="6">
        <v>51.01</v>
      </c>
      <c r="P151" s="6">
        <v>22</v>
      </c>
      <c r="Q151" s="4" t="s">
        <v>26</v>
      </c>
      <c r="R151" s="4">
        <v>0</v>
      </c>
      <c r="S151" s="6">
        <v>0</v>
      </c>
      <c r="T151" s="6">
        <v>33</v>
      </c>
      <c r="U151" s="6">
        <v>64</v>
      </c>
      <c r="V151" s="6">
        <f>IF(ISERROR(VLOOKUP($S$151,'TAR FIN'!$A$1:$O$85,15,0)),0,VLOOKUP($S$151,'TAR FIN'!$A$1:$O$85,15,0))</f>
        <v>0</v>
      </c>
      <c r="W151" s="6">
        <f>IF(ISERROR(VLOOKUP($T$151,'TAR FIN'!$A$1:$O$85,15,0)),0,VLOOKUP($T$151,'TAR FIN'!$A$1:$O$85,15,0))</f>
        <v>267.20999999999998</v>
      </c>
      <c r="X151" s="6">
        <f>IF(ISERROR(VLOOKUP($U$151,'TAR FIN'!$A$1:$O$85,15,0)),0,VLOOKUP($U$151,'TAR FIN'!$A$1:$O$85,15,0))</f>
        <v>273.24</v>
      </c>
      <c r="Y151" s="6"/>
      <c r="Z151" s="6">
        <f ca="1">('TUSD BE'!$AM$33+'TUSD BF'!$AM$33+'TUSD CVA'!$AM$33)*(1-CUSTOS!$M$38)</f>
        <v>292.68592240777247</v>
      </c>
      <c r="AA151" s="6">
        <f>('TE BE'!$AB$23+'TE BF'!$AB$23+'TE CVA'!$AB$23)*(1-CUSTOS!$M$38)</f>
        <v>208.48457914810089</v>
      </c>
      <c r="AB151" s="6">
        <f>$K$151*$V$151</f>
        <v>0</v>
      </c>
      <c r="AC151" s="6">
        <f>$M$151*$W$151</f>
        <v>13630.382099999999</v>
      </c>
      <c r="AD151" s="6">
        <f>$O$151*$X$151</f>
        <v>13937.972400000001</v>
      </c>
      <c r="AE151" s="6">
        <f>$K$151*$Y$151</f>
        <v>0</v>
      </c>
      <c r="AF151" s="6">
        <f ca="1">$M$151*$Z$151</f>
        <v>14929.908902020474</v>
      </c>
      <c r="AG151" s="6">
        <f>$O$151*$AA$151</f>
        <v>10634.798382344627</v>
      </c>
    </row>
    <row r="152" spans="1:33" ht="11.25" customHeight="1" x14ac:dyDescent="0.3">
      <c r="A152" s="4" t="s">
        <v>21</v>
      </c>
      <c r="B152" s="4" t="s">
        <v>39</v>
      </c>
      <c r="C152" s="4" t="s">
        <v>23</v>
      </c>
      <c r="D152" s="4" t="s">
        <v>40</v>
      </c>
      <c r="E152" s="4" t="s">
        <v>25</v>
      </c>
      <c r="F152" s="4" t="s">
        <v>25</v>
      </c>
      <c r="G152" s="4" t="s">
        <v>25</v>
      </c>
      <c r="H152" s="4" t="s">
        <v>25</v>
      </c>
      <c r="I152" s="5">
        <v>44593</v>
      </c>
      <c r="J152" s="6">
        <v>0</v>
      </c>
      <c r="K152" s="6">
        <v>0</v>
      </c>
      <c r="L152" s="6">
        <v>448.75400000000002</v>
      </c>
      <c r="M152" s="6">
        <v>448.75400000000002</v>
      </c>
      <c r="N152" s="6">
        <v>448.75400000000002</v>
      </c>
      <c r="O152" s="6">
        <v>448.75400000000002</v>
      </c>
      <c r="P152" s="6">
        <v>946</v>
      </c>
      <c r="Q152" s="4" t="s">
        <v>26</v>
      </c>
      <c r="R152" s="4">
        <v>0</v>
      </c>
      <c r="S152" s="6">
        <v>0</v>
      </c>
      <c r="T152" s="6">
        <v>33</v>
      </c>
      <c r="U152" s="6">
        <v>64</v>
      </c>
      <c r="V152" s="6">
        <f>IF(ISERROR(VLOOKUP($S$152,'TAR FIN'!$A$1:$O$85,15,0)),0,VLOOKUP($S$152,'TAR FIN'!$A$1:$O$85,15,0))</f>
        <v>0</v>
      </c>
      <c r="W152" s="6">
        <f>IF(ISERROR(VLOOKUP($T$152,'TAR FIN'!$A$1:$O$85,15,0)),0,VLOOKUP($T$152,'TAR FIN'!$A$1:$O$85,15,0))</f>
        <v>267.20999999999998</v>
      </c>
      <c r="X152" s="6">
        <f>IF(ISERROR(VLOOKUP($U$152,'TAR FIN'!$A$1:$O$85,15,0)),0,VLOOKUP($U$152,'TAR FIN'!$A$1:$O$85,15,0))</f>
        <v>273.24</v>
      </c>
      <c r="Y152" s="6"/>
      <c r="Z152" s="6">
        <f ca="1">('TUSD BE'!$AM$33+'TUSD BF'!$AM$33+'TUSD CVA'!$AM$33)*(1-CUSTOS!$M$38)</f>
        <v>292.68592240777247</v>
      </c>
      <c r="AA152" s="6">
        <f>('TE BE'!$AB$23+'TE BF'!$AB$23+'TE CVA'!$AB$23)*(1-CUSTOS!$M$38)</f>
        <v>208.48457914810089</v>
      </c>
      <c r="AB152" s="6">
        <f>$K$152*$V$152</f>
        <v>0</v>
      </c>
      <c r="AC152" s="6">
        <f>$M$152*$W$152</f>
        <v>119911.55634</v>
      </c>
      <c r="AD152" s="6">
        <f>$O$152*$X$152</f>
        <v>122617.54296000001</v>
      </c>
      <c r="AE152" s="6">
        <f>$K$152*$Y$152</f>
        <v>0</v>
      </c>
      <c r="AF152" s="6">
        <f ca="1">$M$152*$Z$152</f>
        <v>131343.97842417753</v>
      </c>
      <c r="AG152" s="6">
        <f>$O$152*$AA$152</f>
        <v>93558.288831026875</v>
      </c>
    </row>
    <row r="153" spans="1:33" ht="11.25" customHeight="1" x14ac:dyDescent="0.3">
      <c r="A153" s="4" t="s">
        <v>41</v>
      </c>
      <c r="B153" s="4" t="s">
        <v>39</v>
      </c>
      <c r="C153" s="4" t="s">
        <v>23</v>
      </c>
      <c r="D153" s="4" t="s">
        <v>40</v>
      </c>
      <c r="E153" s="4" t="s">
        <v>25</v>
      </c>
      <c r="F153" s="4" t="s">
        <v>25</v>
      </c>
      <c r="G153" s="4" t="s">
        <v>25</v>
      </c>
      <c r="H153" s="4" t="s">
        <v>25</v>
      </c>
      <c r="I153" s="5">
        <v>44593</v>
      </c>
      <c r="J153" s="6">
        <v>0</v>
      </c>
      <c r="K153" s="6">
        <v>0</v>
      </c>
      <c r="L153" s="6">
        <v>24.344999999999999</v>
      </c>
      <c r="M153" s="6">
        <v>24.344999999999999</v>
      </c>
      <c r="N153" s="6">
        <v>24.344999999999999</v>
      </c>
      <c r="O153" s="6">
        <v>24.344999999999999</v>
      </c>
      <c r="P153" s="6">
        <v>23</v>
      </c>
      <c r="Q153" s="4" t="s">
        <v>26</v>
      </c>
      <c r="R153" s="4">
        <v>0</v>
      </c>
      <c r="S153" s="6">
        <v>0</v>
      </c>
      <c r="T153" s="6">
        <v>33</v>
      </c>
      <c r="U153" s="6">
        <v>64</v>
      </c>
      <c r="V153" s="6">
        <f>IF(ISERROR(VLOOKUP($S$153,'TAR FIN'!$A$1:$O$85,15,0)),0,VLOOKUP($S$153,'TAR FIN'!$A$1:$O$85,15,0))</f>
        <v>0</v>
      </c>
      <c r="W153" s="6">
        <f>IF(ISERROR(VLOOKUP($T$153,'TAR FIN'!$A$1:$O$85,15,0)),0,VLOOKUP($T$153,'TAR FIN'!$A$1:$O$85,15,0))</f>
        <v>267.20999999999998</v>
      </c>
      <c r="X153" s="6">
        <f>IF(ISERROR(VLOOKUP($U$153,'TAR FIN'!$A$1:$O$85,15,0)),0,VLOOKUP($U$153,'TAR FIN'!$A$1:$O$85,15,0))</f>
        <v>273.24</v>
      </c>
      <c r="Y153" s="6"/>
      <c r="Z153" s="6">
        <f ca="1">('TUSD BE'!$AM$33+'TUSD BF'!$AM$33+'TUSD CVA'!$AM$33)*(1-CUSTOS!$M$38)</f>
        <v>292.68592240777247</v>
      </c>
      <c r="AA153" s="6">
        <f>('TE BE'!$AB$23+'TE BF'!$AB$23+'TE CVA'!$AB$23)*(1-CUSTOS!$M$38)</f>
        <v>208.48457914810089</v>
      </c>
      <c r="AB153" s="6">
        <f>$K$153*$V$153</f>
        <v>0</v>
      </c>
      <c r="AC153" s="6">
        <f>$M$153*$W$153</f>
        <v>6505.2274499999994</v>
      </c>
      <c r="AD153" s="6">
        <f>$O$153*$X$153</f>
        <v>6652.0277999999998</v>
      </c>
      <c r="AE153" s="6">
        <f>$K$153*$Y$153</f>
        <v>0</v>
      </c>
      <c r="AF153" s="6">
        <f ca="1">$M$153*$Z$153</f>
        <v>7125.4387810172202</v>
      </c>
      <c r="AG153" s="6">
        <f>$O$153*$AA$153</f>
        <v>5075.5570793605157</v>
      </c>
    </row>
    <row r="154" spans="1:33" ht="11.25" customHeight="1" x14ac:dyDescent="0.3">
      <c r="A154" s="4" t="s">
        <v>21</v>
      </c>
      <c r="B154" s="4" t="s">
        <v>39</v>
      </c>
      <c r="C154" s="4" t="s">
        <v>23</v>
      </c>
      <c r="D154" s="4" t="s">
        <v>40</v>
      </c>
      <c r="E154" s="4" t="s">
        <v>25</v>
      </c>
      <c r="F154" s="4" t="s">
        <v>25</v>
      </c>
      <c r="G154" s="4" t="s">
        <v>25</v>
      </c>
      <c r="H154" s="4" t="s">
        <v>25</v>
      </c>
      <c r="I154" s="5">
        <v>44621</v>
      </c>
      <c r="J154" s="6">
        <v>0</v>
      </c>
      <c r="K154" s="6">
        <v>0</v>
      </c>
      <c r="L154" s="6">
        <v>441.31900000000002</v>
      </c>
      <c r="M154" s="6">
        <v>441.31900000000002</v>
      </c>
      <c r="N154" s="6">
        <v>441.31900000000002</v>
      </c>
      <c r="O154" s="6">
        <v>441.31900000000002</v>
      </c>
      <c r="P154" s="6">
        <v>950</v>
      </c>
      <c r="Q154" s="4" t="s">
        <v>26</v>
      </c>
      <c r="R154" s="4">
        <v>0</v>
      </c>
      <c r="S154" s="6">
        <v>0</v>
      </c>
      <c r="T154" s="6">
        <v>33</v>
      </c>
      <c r="U154" s="6">
        <v>64</v>
      </c>
      <c r="V154" s="6">
        <f>IF(ISERROR(VLOOKUP($S$154,'TAR FIN'!$A$1:$O$85,15,0)),0,VLOOKUP($S$154,'TAR FIN'!$A$1:$O$85,15,0))</f>
        <v>0</v>
      </c>
      <c r="W154" s="6">
        <f>IF(ISERROR(VLOOKUP($T$154,'TAR FIN'!$A$1:$O$85,15,0)),0,VLOOKUP($T$154,'TAR FIN'!$A$1:$O$85,15,0))</f>
        <v>267.20999999999998</v>
      </c>
      <c r="X154" s="6">
        <f>IF(ISERROR(VLOOKUP($U$154,'TAR FIN'!$A$1:$O$85,15,0)),0,VLOOKUP($U$154,'TAR FIN'!$A$1:$O$85,15,0))</f>
        <v>273.24</v>
      </c>
      <c r="Y154" s="6"/>
      <c r="Z154" s="6">
        <f ca="1">('TUSD BE'!$AM$33+'TUSD BF'!$AM$33+'TUSD CVA'!$AM$33)*(1-CUSTOS!$M$38)</f>
        <v>292.68592240777247</v>
      </c>
      <c r="AA154" s="6">
        <f>('TE BE'!$AB$23+'TE BF'!$AB$23+'TE CVA'!$AB$23)*(1-CUSTOS!$M$38)</f>
        <v>208.48457914810089</v>
      </c>
      <c r="AB154" s="6">
        <f>$K$154*$V$154</f>
        <v>0</v>
      </c>
      <c r="AC154" s="6">
        <f>$M$154*$W$154</f>
        <v>117924.84999</v>
      </c>
      <c r="AD154" s="6">
        <f>$O$154*$X$154</f>
        <v>120586.00356000001</v>
      </c>
      <c r="AE154" s="6">
        <f>$K$154*$Y$154</f>
        <v>0</v>
      </c>
      <c r="AF154" s="6">
        <f ca="1">$M$154*$Z$154</f>
        <v>129167.85859107574</v>
      </c>
      <c r="AG154" s="6">
        <f>$O$154*$AA$154</f>
        <v>92008.205985060747</v>
      </c>
    </row>
    <row r="155" spans="1:33" ht="11.25" customHeight="1" x14ac:dyDescent="0.3">
      <c r="A155" s="4" t="s">
        <v>41</v>
      </c>
      <c r="B155" s="4" t="s">
        <v>39</v>
      </c>
      <c r="C155" s="4" t="s">
        <v>23</v>
      </c>
      <c r="D155" s="4" t="s">
        <v>40</v>
      </c>
      <c r="E155" s="4" t="s">
        <v>25</v>
      </c>
      <c r="F155" s="4" t="s">
        <v>25</v>
      </c>
      <c r="G155" s="4" t="s">
        <v>25</v>
      </c>
      <c r="H155" s="4" t="s">
        <v>25</v>
      </c>
      <c r="I155" s="5">
        <v>44621</v>
      </c>
      <c r="J155" s="6">
        <v>0</v>
      </c>
      <c r="K155" s="6">
        <v>0</v>
      </c>
      <c r="L155" s="6">
        <v>39.655999999999999</v>
      </c>
      <c r="M155" s="6">
        <v>39.655999999999999</v>
      </c>
      <c r="N155" s="6">
        <v>39.655999999999999</v>
      </c>
      <c r="O155" s="6">
        <v>39.655999999999999</v>
      </c>
      <c r="P155" s="6">
        <v>23</v>
      </c>
      <c r="Q155" s="4" t="s">
        <v>26</v>
      </c>
      <c r="R155" s="4">
        <v>0</v>
      </c>
      <c r="S155" s="6">
        <v>0</v>
      </c>
      <c r="T155" s="6">
        <v>33</v>
      </c>
      <c r="U155" s="6">
        <v>64</v>
      </c>
      <c r="V155" s="6">
        <f>IF(ISERROR(VLOOKUP($S$155,'TAR FIN'!$A$1:$O$85,15,0)),0,VLOOKUP($S$155,'TAR FIN'!$A$1:$O$85,15,0))</f>
        <v>0</v>
      </c>
      <c r="W155" s="6">
        <f>IF(ISERROR(VLOOKUP($T$155,'TAR FIN'!$A$1:$O$85,15,0)),0,VLOOKUP($T$155,'TAR FIN'!$A$1:$O$85,15,0))</f>
        <v>267.20999999999998</v>
      </c>
      <c r="X155" s="6">
        <f>IF(ISERROR(VLOOKUP($U$155,'TAR FIN'!$A$1:$O$85,15,0)),0,VLOOKUP($U$155,'TAR FIN'!$A$1:$O$85,15,0))</f>
        <v>273.24</v>
      </c>
      <c r="Y155" s="6"/>
      <c r="Z155" s="6">
        <f ca="1">('TUSD BE'!$AM$33+'TUSD BF'!$AM$33+'TUSD CVA'!$AM$33)*(1-CUSTOS!$M$38)</f>
        <v>292.68592240777247</v>
      </c>
      <c r="AA155" s="6">
        <f>('TE BE'!$AB$23+'TE BF'!$AB$23+'TE CVA'!$AB$23)*(1-CUSTOS!$M$38)</f>
        <v>208.48457914810089</v>
      </c>
      <c r="AB155" s="6">
        <f>$K$155*$V$155</f>
        <v>0</v>
      </c>
      <c r="AC155" s="6">
        <f>$M$155*$W$155</f>
        <v>10596.479759999998</v>
      </c>
      <c r="AD155" s="6">
        <f>$O$155*$X$155</f>
        <v>10835.605439999999</v>
      </c>
      <c r="AE155" s="6">
        <f>$K$155*$Y$155</f>
        <v>0</v>
      </c>
      <c r="AF155" s="6">
        <f ca="1">$M$155*$Z$155</f>
        <v>11606.752939002625</v>
      </c>
      <c r="AG155" s="6">
        <f>$O$155*$AA$155</f>
        <v>8267.6644706970892</v>
      </c>
    </row>
    <row r="156" spans="1:33" ht="11.25" customHeight="1" x14ac:dyDescent="0.3">
      <c r="A156" s="4" t="s">
        <v>21</v>
      </c>
      <c r="B156" s="4" t="s">
        <v>39</v>
      </c>
      <c r="C156" s="4" t="s">
        <v>23</v>
      </c>
      <c r="D156" s="4" t="s">
        <v>40</v>
      </c>
      <c r="E156" s="4" t="s">
        <v>25</v>
      </c>
      <c r="F156" s="4" t="s">
        <v>25</v>
      </c>
      <c r="G156" s="4" t="s">
        <v>25</v>
      </c>
      <c r="H156" s="4" t="s">
        <v>25</v>
      </c>
      <c r="I156" s="5">
        <v>44652</v>
      </c>
      <c r="J156" s="6">
        <v>0</v>
      </c>
      <c r="K156" s="6">
        <v>0</v>
      </c>
      <c r="L156" s="6">
        <v>404.09800000000001</v>
      </c>
      <c r="M156" s="6">
        <v>404.09800000000001</v>
      </c>
      <c r="N156" s="6">
        <v>404.09800000000001</v>
      </c>
      <c r="O156" s="6">
        <v>404.09800000000001</v>
      </c>
      <c r="P156" s="6">
        <v>950</v>
      </c>
      <c r="Q156" s="4" t="s">
        <v>26</v>
      </c>
      <c r="R156" s="4">
        <v>0</v>
      </c>
      <c r="S156" s="6">
        <v>0</v>
      </c>
      <c r="T156" s="6">
        <v>33</v>
      </c>
      <c r="U156" s="6">
        <v>64</v>
      </c>
      <c r="V156" s="6">
        <f>IF(ISERROR(VLOOKUP($S$156,'TAR FIN'!$A$1:$O$85,15,0)),0,VLOOKUP($S$156,'TAR FIN'!$A$1:$O$85,15,0))</f>
        <v>0</v>
      </c>
      <c r="W156" s="6">
        <f>IF(ISERROR(VLOOKUP($T$156,'TAR FIN'!$A$1:$O$85,15,0)),0,VLOOKUP($T$156,'TAR FIN'!$A$1:$O$85,15,0))</f>
        <v>267.20999999999998</v>
      </c>
      <c r="X156" s="6">
        <f>IF(ISERROR(VLOOKUP($U$156,'TAR FIN'!$A$1:$O$85,15,0)),0,VLOOKUP($U$156,'TAR FIN'!$A$1:$O$85,15,0))</f>
        <v>273.24</v>
      </c>
      <c r="Y156" s="6"/>
      <c r="Z156" s="6">
        <f ca="1">('TUSD BE'!$AM$33+'TUSD BF'!$AM$33+'TUSD CVA'!$AM$33)*(1-CUSTOS!$M$38)</f>
        <v>292.68592240777247</v>
      </c>
      <c r="AA156" s="6">
        <f>('TE BE'!$AB$23+'TE BF'!$AB$23+'TE CVA'!$AB$23)*(1-CUSTOS!$M$38)</f>
        <v>208.48457914810089</v>
      </c>
      <c r="AB156" s="6">
        <f>$K$156*$V$156</f>
        <v>0</v>
      </c>
      <c r="AC156" s="6">
        <f>$M$156*$W$156</f>
        <v>107979.02657999999</v>
      </c>
      <c r="AD156" s="6">
        <f>$O$156*$X$156</f>
        <v>110415.73752000001</v>
      </c>
      <c r="AE156" s="6">
        <f>$K$156*$Y$156</f>
        <v>0</v>
      </c>
      <c r="AF156" s="6">
        <f ca="1">$M$156*$Z$156</f>
        <v>118273.79587313604</v>
      </c>
      <c r="AG156" s="6">
        <f>$O$156*$AA$156</f>
        <v>84248.201464589278</v>
      </c>
    </row>
    <row r="157" spans="1:33" ht="11.25" customHeight="1" x14ac:dyDescent="0.3">
      <c r="A157" s="4" t="s">
        <v>41</v>
      </c>
      <c r="B157" s="4" t="s">
        <v>39</v>
      </c>
      <c r="C157" s="4" t="s">
        <v>23</v>
      </c>
      <c r="D157" s="4" t="s">
        <v>40</v>
      </c>
      <c r="E157" s="4" t="s">
        <v>25</v>
      </c>
      <c r="F157" s="4" t="s">
        <v>25</v>
      </c>
      <c r="G157" s="4" t="s">
        <v>25</v>
      </c>
      <c r="H157" s="4" t="s">
        <v>25</v>
      </c>
      <c r="I157" s="5">
        <v>44652</v>
      </c>
      <c r="J157" s="6">
        <v>0</v>
      </c>
      <c r="K157" s="6">
        <v>0</v>
      </c>
      <c r="L157" s="6">
        <v>39.155999999999999</v>
      </c>
      <c r="M157" s="6">
        <v>39.155999999999999</v>
      </c>
      <c r="N157" s="6">
        <v>39.155999999999999</v>
      </c>
      <c r="O157" s="6">
        <v>39.155999999999999</v>
      </c>
      <c r="P157" s="6">
        <v>23</v>
      </c>
      <c r="Q157" s="4" t="s">
        <v>26</v>
      </c>
      <c r="R157" s="4">
        <v>0</v>
      </c>
      <c r="S157" s="6">
        <v>0</v>
      </c>
      <c r="T157" s="6">
        <v>33</v>
      </c>
      <c r="U157" s="6">
        <v>64</v>
      </c>
      <c r="V157" s="6">
        <f>IF(ISERROR(VLOOKUP($S$157,'TAR FIN'!$A$1:$O$85,15,0)),0,VLOOKUP($S$157,'TAR FIN'!$A$1:$O$85,15,0))</f>
        <v>0</v>
      </c>
      <c r="W157" s="6">
        <f>IF(ISERROR(VLOOKUP($T$157,'TAR FIN'!$A$1:$O$85,15,0)),0,VLOOKUP($T$157,'TAR FIN'!$A$1:$O$85,15,0))</f>
        <v>267.20999999999998</v>
      </c>
      <c r="X157" s="6">
        <f>IF(ISERROR(VLOOKUP($U$157,'TAR FIN'!$A$1:$O$85,15,0)),0,VLOOKUP($U$157,'TAR FIN'!$A$1:$O$85,15,0))</f>
        <v>273.24</v>
      </c>
      <c r="Y157" s="6"/>
      <c r="Z157" s="6">
        <f ca="1">('TUSD BE'!$AM$33+'TUSD BF'!$AM$33+'TUSD CVA'!$AM$33)*(1-CUSTOS!$M$38)</f>
        <v>292.68592240777247</v>
      </c>
      <c r="AA157" s="6">
        <f>('TE BE'!$AB$23+'TE BF'!$AB$23+'TE CVA'!$AB$23)*(1-CUSTOS!$M$38)</f>
        <v>208.48457914810089</v>
      </c>
      <c r="AB157" s="6">
        <f>$K$157*$V$157</f>
        <v>0</v>
      </c>
      <c r="AC157" s="6">
        <f>$M$157*$W$157</f>
        <v>10462.874759999999</v>
      </c>
      <c r="AD157" s="6">
        <f>$O$157*$X$157</f>
        <v>10698.98544</v>
      </c>
      <c r="AE157" s="6">
        <f>$K$157*$Y$157</f>
        <v>0</v>
      </c>
      <c r="AF157" s="6">
        <f ca="1">$M$157*$Z$157</f>
        <v>11460.409977798738</v>
      </c>
      <c r="AG157" s="6">
        <f>$O$157*$AA$157</f>
        <v>8163.4221811230382</v>
      </c>
    </row>
    <row r="158" spans="1:33" ht="11.25" customHeight="1" x14ac:dyDescent="0.3">
      <c r="A158" s="4" t="s">
        <v>21</v>
      </c>
      <c r="B158" s="4" t="s">
        <v>39</v>
      </c>
      <c r="C158" s="4" t="s">
        <v>23</v>
      </c>
      <c r="D158" s="4" t="s">
        <v>40</v>
      </c>
      <c r="E158" s="4" t="s">
        <v>25</v>
      </c>
      <c r="F158" s="4" t="s">
        <v>25</v>
      </c>
      <c r="G158" s="4" t="s">
        <v>25</v>
      </c>
      <c r="H158" s="4" t="s">
        <v>25</v>
      </c>
      <c r="I158" s="5">
        <v>44682</v>
      </c>
      <c r="J158" s="6">
        <v>0</v>
      </c>
      <c r="K158" s="6">
        <v>0</v>
      </c>
      <c r="L158" s="6">
        <v>409.298</v>
      </c>
      <c r="M158" s="6">
        <v>409.298</v>
      </c>
      <c r="N158" s="6">
        <v>409.298</v>
      </c>
      <c r="O158" s="6">
        <v>409.298</v>
      </c>
      <c r="P158" s="6">
        <v>947</v>
      </c>
      <c r="Q158" s="4" t="s">
        <v>26</v>
      </c>
      <c r="R158" s="4">
        <v>0</v>
      </c>
      <c r="S158" s="6">
        <v>0</v>
      </c>
      <c r="T158" s="6">
        <v>33</v>
      </c>
      <c r="U158" s="6">
        <v>64</v>
      </c>
      <c r="V158" s="6">
        <f>IF(ISERROR(VLOOKUP($S$158,'TAR FIN'!$A$1:$O$85,15,0)),0,VLOOKUP($S$158,'TAR FIN'!$A$1:$O$85,15,0))</f>
        <v>0</v>
      </c>
      <c r="W158" s="6">
        <f>IF(ISERROR(VLOOKUP($T$158,'TAR FIN'!$A$1:$O$85,15,0)),0,VLOOKUP($T$158,'TAR FIN'!$A$1:$O$85,15,0))</f>
        <v>267.20999999999998</v>
      </c>
      <c r="X158" s="6">
        <f>IF(ISERROR(VLOOKUP($U$158,'TAR FIN'!$A$1:$O$85,15,0)),0,VLOOKUP($U$158,'TAR FIN'!$A$1:$O$85,15,0))</f>
        <v>273.24</v>
      </c>
      <c r="Y158" s="6"/>
      <c r="Z158" s="6">
        <f ca="1">('TUSD BE'!$AM$33+'TUSD BF'!$AM$33+'TUSD CVA'!$AM$33)*(1-CUSTOS!$M$38)</f>
        <v>292.68592240777247</v>
      </c>
      <c r="AA158" s="6">
        <f>('TE BE'!$AB$23+'TE BF'!$AB$23+'TE CVA'!$AB$23)*(1-CUSTOS!$M$38)</f>
        <v>208.48457914810089</v>
      </c>
      <c r="AB158" s="6">
        <f>$K$158*$V$158</f>
        <v>0</v>
      </c>
      <c r="AC158" s="6">
        <f>$M$158*$W$158</f>
        <v>109368.51857999999</v>
      </c>
      <c r="AD158" s="6">
        <f>$O$158*$X$158</f>
        <v>111836.58552000001</v>
      </c>
      <c r="AE158" s="6">
        <f>$K$158*$Y$158</f>
        <v>0</v>
      </c>
      <c r="AF158" s="6">
        <f ca="1">$M$158*$Z$158</f>
        <v>119795.76266965645</v>
      </c>
      <c r="AG158" s="6">
        <f>$O$158*$AA$158</f>
        <v>85332.321276159404</v>
      </c>
    </row>
    <row r="159" spans="1:33" ht="11.25" customHeight="1" x14ac:dyDescent="0.3">
      <c r="A159" s="4" t="s">
        <v>41</v>
      </c>
      <c r="B159" s="4" t="s">
        <v>39</v>
      </c>
      <c r="C159" s="4" t="s">
        <v>23</v>
      </c>
      <c r="D159" s="4" t="s">
        <v>40</v>
      </c>
      <c r="E159" s="4" t="s">
        <v>25</v>
      </c>
      <c r="F159" s="4" t="s">
        <v>25</v>
      </c>
      <c r="G159" s="4" t="s">
        <v>25</v>
      </c>
      <c r="H159" s="4" t="s">
        <v>25</v>
      </c>
      <c r="I159" s="5">
        <v>44682</v>
      </c>
      <c r="J159" s="6">
        <v>0</v>
      </c>
      <c r="K159" s="6">
        <v>0</v>
      </c>
      <c r="L159" s="6">
        <v>45.146999999999998</v>
      </c>
      <c r="M159" s="6">
        <v>45.146999999999998</v>
      </c>
      <c r="N159" s="6">
        <v>45.146999999999998</v>
      </c>
      <c r="O159" s="6">
        <v>45.146999999999998</v>
      </c>
      <c r="P159" s="6">
        <v>25</v>
      </c>
      <c r="Q159" s="4" t="s">
        <v>26</v>
      </c>
      <c r="R159" s="4">
        <v>0</v>
      </c>
      <c r="S159" s="6">
        <v>0</v>
      </c>
      <c r="T159" s="6">
        <v>33</v>
      </c>
      <c r="U159" s="6">
        <v>64</v>
      </c>
      <c r="V159" s="6">
        <f>IF(ISERROR(VLOOKUP($S$159,'TAR FIN'!$A$1:$O$85,15,0)),0,VLOOKUP($S$159,'TAR FIN'!$A$1:$O$85,15,0))</f>
        <v>0</v>
      </c>
      <c r="W159" s="6">
        <f>IF(ISERROR(VLOOKUP($T$159,'TAR FIN'!$A$1:$O$85,15,0)),0,VLOOKUP($T$159,'TAR FIN'!$A$1:$O$85,15,0))</f>
        <v>267.20999999999998</v>
      </c>
      <c r="X159" s="6">
        <f>IF(ISERROR(VLOOKUP($U$159,'TAR FIN'!$A$1:$O$85,15,0)),0,VLOOKUP($U$159,'TAR FIN'!$A$1:$O$85,15,0))</f>
        <v>273.24</v>
      </c>
      <c r="Y159" s="6"/>
      <c r="Z159" s="6">
        <f ca="1">('TUSD BE'!$AM$33+'TUSD BF'!$AM$33+'TUSD CVA'!$AM$33)*(1-CUSTOS!$M$38)</f>
        <v>292.68592240777247</v>
      </c>
      <c r="AA159" s="6">
        <f>('TE BE'!$AB$23+'TE BF'!$AB$23+'TE CVA'!$AB$23)*(1-CUSTOS!$M$38)</f>
        <v>208.48457914810089</v>
      </c>
      <c r="AB159" s="6">
        <f>$K$159*$V$159</f>
        <v>0</v>
      </c>
      <c r="AC159" s="6">
        <f>$M$159*$W$159</f>
        <v>12063.729869999999</v>
      </c>
      <c r="AD159" s="6">
        <f>$O$159*$X$159</f>
        <v>12335.966280000001</v>
      </c>
      <c r="AE159" s="6">
        <f>$K$159*$Y$159</f>
        <v>0</v>
      </c>
      <c r="AF159" s="6">
        <f ca="1">$M$159*$Z$159</f>
        <v>13213.891338943704</v>
      </c>
      <c r="AG159" s="6">
        <f>$O$159*$AA$159</f>
        <v>9412.4532947993102</v>
      </c>
    </row>
    <row r="160" spans="1:33" ht="11.25" customHeight="1" x14ac:dyDescent="0.3">
      <c r="A160" s="4" t="s">
        <v>21</v>
      </c>
      <c r="B160" s="4" t="s">
        <v>39</v>
      </c>
      <c r="C160" s="4" t="s">
        <v>23</v>
      </c>
      <c r="D160" s="4" t="s">
        <v>40</v>
      </c>
      <c r="E160" s="4" t="s">
        <v>25</v>
      </c>
      <c r="F160" s="4" t="s">
        <v>25</v>
      </c>
      <c r="G160" s="4" t="s">
        <v>25</v>
      </c>
      <c r="H160" s="4" t="s">
        <v>25</v>
      </c>
      <c r="I160" s="5">
        <v>44713</v>
      </c>
      <c r="J160" s="6">
        <v>0</v>
      </c>
      <c r="K160" s="6">
        <v>0</v>
      </c>
      <c r="L160" s="6">
        <v>386.99599999999998</v>
      </c>
      <c r="M160" s="6">
        <v>386.99599999999998</v>
      </c>
      <c r="N160" s="6">
        <v>386.99599999999998</v>
      </c>
      <c r="O160" s="6">
        <v>386.99599999999998</v>
      </c>
      <c r="P160" s="6">
        <v>946</v>
      </c>
      <c r="Q160" s="4" t="s">
        <v>26</v>
      </c>
      <c r="R160" s="4">
        <v>0</v>
      </c>
      <c r="S160" s="6">
        <v>0</v>
      </c>
      <c r="T160" s="6">
        <v>33</v>
      </c>
      <c r="U160" s="6">
        <v>64</v>
      </c>
      <c r="V160" s="6">
        <f>IF(ISERROR(VLOOKUP($S$160,'TAR FIN'!$A$1:$O$85,15,0)),0,VLOOKUP($S$160,'TAR FIN'!$A$1:$O$85,15,0))</f>
        <v>0</v>
      </c>
      <c r="W160" s="6">
        <f>IF(ISERROR(VLOOKUP($T$160,'TAR FIN'!$A$1:$O$85,15,0)),0,VLOOKUP($T$160,'TAR FIN'!$A$1:$O$85,15,0))</f>
        <v>267.20999999999998</v>
      </c>
      <c r="X160" s="6">
        <f>IF(ISERROR(VLOOKUP($U$160,'TAR FIN'!$A$1:$O$85,15,0)),0,VLOOKUP($U$160,'TAR FIN'!$A$1:$O$85,15,0))</f>
        <v>273.24</v>
      </c>
      <c r="Y160" s="6"/>
      <c r="Z160" s="6">
        <f ca="1">('TUSD BE'!$AM$33+'TUSD BF'!$AM$33+'TUSD CVA'!$AM$33)*(1-CUSTOS!$M$38)</f>
        <v>292.68592240777247</v>
      </c>
      <c r="AA160" s="6">
        <f>('TE BE'!$AB$23+'TE BF'!$AB$23+'TE CVA'!$AB$23)*(1-CUSTOS!$M$38)</f>
        <v>208.48457914810089</v>
      </c>
      <c r="AB160" s="6">
        <f>$K$160*$V$160</f>
        <v>0</v>
      </c>
      <c r="AC160" s="6">
        <f>$M$160*$W$160</f>
        <v>103409.20115999998</v>
      </c>
      <c r="AD160" s="6">
        <f>$O$160*$X$160</f>
        <v>105742.78704</v>
      </c>
      <c r="AE160" s="6">
        <f>$K$160*$Y$160</f>
        <v>0</v>
      </c>
      <c r="AF160" s="6">
        <f ca="1">$M$160*$Z$160</f>
        <v>113268.28122811831</v>
      </c>
      <c r="AG160" s="6">
        <f>$O$160*$AA$160</f>
        <v>80682.698191998454</v>
      </c>
    </row>
    <row r="161" spans="1:33" ht="11.25" customHeight="1" x14ac:dyDescent="0.3">
      <c r="A161" s="4" t="s">
        <v>41</v>
      </c>
      <c r="B161" s="4" t="s">
        <v>39</v>
      </c>
      <c r="C161" s="4" t="s">
        <v>23</v>
      </c>
      <c r="D161" s="4" t="s">
        <v>40</v>
      </c>
      <c r="E161" s="4" t="s">
        <v>25</v>
      </c>
      <c r="F161" s="4" t="s">
        <v>25</v>
      </c>
      <c r="G161" s="4" t="s">
        <v>25</v>
      </c>
      <c r="H161" s="4" t="s">
        <v>25</v>
      </c>
      <c r="I161" s="5">
        <v>44713</v>
      </c>
      <c r="J161" s="6">
        <v>0</v>
      </c>
      <c r="K161" s="6">
        <v>0</v>
      </c>
      <c r="L161" s="6">
        <v>49.85</v>
      </c>
      <c r="M161" s="6">
        <v>49.85</v>
      </c>
      <c r="N161" s="6">
        <v>49.85</v>
      </c>
      <c r="O161" s="6">
        <v>49.85</v>
      </c>
      <c r="P161" s="6">
        <v>27</v>
      </c>
      <c r="Q161" s="4" t="s">
        <v>26</v>
      </c>
      <c r="R161" s="4">
        <v>0</v>
      </c>
      <c r="S161" s="6">
        <v>0</v>
      </c>
      <c r="T161" s="6">
        <v>33</v>
      </c>
      <c r="U161" s="6">
        <v>64</v>
      </c>
      <c r="V161" s="6">
        <f>IF(ISERROR(VLOOKUP($S$161,'TAR FIN'!$A$1:$O$85,15,0)),0,VLOOKUP($S$161,'TAR FIN'!$A$1:$O$85,15,0))</f>
        <v>0</v>
      </c>
      <c r="W161" s="6">
        <f>IF(ISERROR(VLOOKUP($T$161,'TAR FIN'!$A$1:$O$85,15,0)),0,VLOOKUP($T$161,'TAR FIN'!$A$1:$O$85,15,0))</f>
        <v>267.20999999999998</v>
      </c>
      <c r="X161" s="6">
        <f>IF(ISERROR(VLOOKUP($U$161,'TAR FIN'!$A$1:$O$85,15,0)),0,VLOOKUP($U$161,'TAR FIN'!$A$1:$O$85,15,0))</f>
        <v>273.24</v>
      </c>
      <c r="Y161" s="6"/>
      <c r="Z161" s="6">
        <f ca="1">('TUSD BE'!$AM$33+'TUSD BF'!$AM$33+'TUSD CVA'!$AM$33)*(1-CUSTOS!$M$38)</f>
        <v>292.68592240777247</v>
      </c>
      <c r="AA161" s="6">
        <f>('TE BE'!$AB$23+'TE BF'!$AB$23+'TE CVA'!$AB$23)*(1-CUSTOS!$M$38)</f>
        <v>208.48457914810089</v>
      </c>
      <c r="AB161" s="6">
        <f>$K$161*$V$161</f>
        <v>0</v>
      </c>
      <c r="AC161" s="6">
        <f>$M$161*$W$161</f>
        <v>13320.4185</v>
      </c>
      <c r="AD161" s="6">
        <f>$O$161*$X$161</f>
        <v>13621.014000000001</v>
      </c>
      <c r="AE161" s="6">
        <f>$K$161*$Y$161</f>
        <v>0</v>
      </c>
      <c r="AF161" s="6">
        <f ca="1">$M$161*$Z$161</f>
        <v>14590.393232027458</v>
      </c>
      <c r="AG161" s="6">
        <f>$O$161*$AA$161</f>
        <v>10392.95627053283</v>
      </c>
    </row>
    <row r="162" spans="1:33" ht="11.25" customHeight="1" x14ac:dyDescent="0.3">
      <c r="A162" s="4" t="s">
        <v>21</v>
      </c>
      <c r="B162" s="4" t="s">
        <v>39</v>
      </c>
      <c r="C162" s="4" t="s">
        <v>23</v>
      </c>
      <c r="D162" s="4" t="s">
        <v>40</v>
      </c>
      <c r="E162" s="4" t="s">
        <v>25</v>
      </c>
      <c r="F162" s="4" t="s">
        <v>25</v>
      </c>
      <c r="G162" s="4" t="s">
        <v>25</v>
      </c>
      <c r="H162" s="4" t="s">
        <v>25</v>
      </c>
      <c r="I162" s="5">
        <v>44743</v>
      </c>
      <c r="J162" s="6">
        <v>0</v>
      </c>
      <c r="K162" s="6">
        <v>0</v>
      </c>
      <c r="L162" s="6">
        <v>380.39699999999999</v>
      </c>
      <c r="M162" s="6">
        <v>380.39699999999999</v>
      </c>
      <c r="N162" s="6">
        <v>380.39699999999999</v>
      </c>
      <c r="O162" s="6">
        <v>380.39699999999999</v>
      </c>
      <c r="P162" s="6">
        <v>939</v>
      </c>
      <c r="Q162" s="4" t="s">
        <v>26</v>
      </c>
      <c r="R162" s="4">
        <v>0</v>
      </c>
      <c r="S162" s="6">
        <v>0</v>
      </c>
      <c r="T162" s="6">
        <v>33</v>
      </c>
      <c r="U162" s="6">
        <v>64</v>
      </c>
      <c r="V162" s="6">
        <f>IF(ISERROR(VLOOKUP($S$162,'TAR FIN'!$A$1:$O$85,15,0)),0,VLOOKUP($S$162,'TAR FIN'!$A$1:$O$85,15,0))</f>
        <v>0</v>
      </c>
      <c r="W162" s="6">
        <f>IF(ISERROR(VLOOKUP($T$162,'TAR FIN'!$A$1:$O$85,15,0)),0,VLOOKUP($T$162,'TAR FIN'!$A$1:$O$85,15,0))</f>
        <v>267.20999999999998</v>
      </c>
      <c r="X162" s="6">
        <f>IF(ISERROR(VLOOKUP($U$162,'TAR FIN'!$A$1:$O$85,15,0)),0,VLOOKUP($U$162,'TAR FIN'!$A$1:$O$85,15,0))</f>
        <v>273.24</v>
      </c>
      <c r="Y162" s="6"/>
      <c r="Z162" s="6">
        <f ca="1">('TUSD BE'!$AM$33+'TUSD BF'!$AM$33+'TUSD CVA'!$AM$33)*(1-CUSTOS!$M$38)</f>
        <v>292.68592240777247</v>
      </c>
      <c r="AA162" s="6">
        <f>('TE BE'!$AB$23+'TE BF'!$AB$23+'TE CVA'!$AB$23)*(1-CUSTOS!$M$38)</f>
        <v>208.48457914810089</v>
      </c>
      <c r="AB162" s="6">
        <f>$K$162*$V$162</f>
        <v>0</v>
      </c>
      <c r="AC162" s="6">
        <f>$M$162*$W$162</f>
        <v>101645.88236999999</v>
      </c>
      <c r="AD162" s="6">
        <f>$O$162*$X$162</f>
        <v>103939.67628</v>
      </c>
      <c r="AE162" s="6">
        <f>$K$162*$Y$162</f>
        <v>0</v>
      </c>
      <c r="AF162" s="6">
        <f ca="1">$M$162*$Z$162</f>
        <v>111336.84682614943</v>
      </c>
      <c r="AG162" s="6">
        <f>$O$162*$AA$162</f>
        <v>79306.908454200136</v>
      </c>
    </row>
    <row r="163" spans="1:33" ht="11.25" customHeight="1" x14ac:dyDescent="0.3">
      <c r="A163" s="4" t="s">
        <v>41</v>
      </c>
      <c r="B163" s="4" t="s">
        <v>39</v>
      </c>
      <c r="C163" s="4" t="s">
        <v>23</v>
      </c>
      <c r="D163" s="4" t="s">
        <v>40</v>
      </c>
      <c r="E163" s="4" t="s">
        <v>25</v>
      </c>
      <c r="F163" s="4" t="s">
        <v>25</v>
      </c>
      <c r="G163" s="4" t="s">
        <v>25</v>
      </c>
      <c r="H163" s="4" t="s">
        <v>25</v>
      </c>
      <c r="I163" s="5">
        <v>44743</v>
      </c>
      <c r="J163" s="6">
        <v>0</v>
      </c>
      <c r="K163" s="6">
        <v>0</v>
      </c>
      <c r="L163" s="6">
        <v>65.037000000000006</v>
      </c>
      <c r="M163" s="6">
        <v>65.037000000000006</v>
      </c>
      <c r="N163" s="6">
        <v>65.037000000000006</v>
      </c>
      <c r="O163" s="6">
        <v>65.037000000000006</v>
      </c>
      <c r="P163" s="6">
        <v>30</v>
      </c>
      <c r="Q163" s="4" t="s">
        <v>26</v>
      </c>
      <c r="R163" s="4">
        <v>0</v>
      </c>
      <c r="S163" s="6">
        <v>0</v>
      </c>
      <c r="T163" s="6">
        <v>33</v>
      </c>
      <c r="U163" s="6">
        <v>64</v>
      </c>
      <c r="V163" s="6">
        <f>IF(ISERROR(VLOOKUP($S$163,'TAR FIN'!$A$1:$O$85,15,0)),0,VLOOKUP($S$163,'TAR FIN'!$A$1:$O$85,15,0))</f>
        <v>0</v>
      </c>
      <c r="W163" s="6">
        <f>IF(ISERROR(VLOOKUP($T$163,'TAR FIN'!$A$1:$O$85,15,0)),0,VLOOKUP($T$163,'TAR FIN'!$A$1:$O$85,15,0))</f>
        <v>267.20999999999998</v>
      </c>
      <c r="X163" s="6">
        <f>IF(ISERROR(VLOOKUP($U$163,'TAR FIN'!$A$1:$O$85,15,0)),0,VLOOKUP($U$163,'TAR FIN'!$A$1:$O$85,15,0))</f>
        <v>273.24</v>
      </c>
      <c r="Y163" s="6"/>
      <c r="Z163" s="6">
        <f ca="1">('TUSD BE'!$AM$33+'TUSD BF'!$AM$33+'TUSD CVA'!$AM$33)*(1-CUSTOS!$M$38)</f>
        <v>292.68592240777247</v>
      </c>
      <c r="AA163" s="6">
        <f>('TE BE'!$AB$23+'TE BF'!$AB$23+'TE CVA'!$AB$23)*(1-CUSTOS!$M$38)</f>
        <v>208.48457914810089</v>
      </c>
      <c r="AB163" s="6">
        <f>$K$163*$V$163</f>
        <v>0</v>
      </c>
      <c r="AC163" s="6">
        <f>$M$163*$W$163</f>
        <v>17378.536769999999</v>
      </c>
      <c r="AD163" s="6">
        <f>$O$163*$X$163</f>
        <v>17770.709880000002</v>
      </c>
      <c r="AE163" s="6">
        <f>$K$163*$Y$163</f>
        <v>0</v>
      </c>
      <c r="AF163" s="6">
        <f ca="1">$M$163*$Z$163</f>
        <v>19035.414335634301</v>
      </c>
      <c r="AG163" s="6">
        <f>$O$163*$AA$163</f>
        <v>13559.21157405504</v>
      </c>
    </row>
    <row r="164" spans="1:33" ht="11.25" customHeight="1" x14ac:dyDescent="0.3">
      <c r="A164" s="4" t="s">
        <v>21</v>
      </c>
      <c r="B164" s="4" t="s">
        <v>39</v>
      </c>
      <c r="C164" s="4" t="s">
        <v>23</v>
      </c>
      <c r="D164" s="4" t="s">
        <v>40</v>
      </c>
      <c r="E164" s="4" t="s">
        <v>25</v>
      </c>
      <c r="F164" s="4" t="s">
        <v>25</v>
      </c>
      <c r="G164" s="4" t="s">
        <v>25</v>
      </c>
      <c r="H164" s="4" t="s">
        <v>25</v>
      </c>
      <c r="I164" s="5">
        <v>44774</v>
      </c>
      <c r="J164" s="6">
        <v>0</v>
      </c>
      <c r="K164" s="6">
        <v>0</v>
      </c>
      <c r="L164" s="6">
        <v>433.69900000000001</v>
      </c>
      <c r="M164" s="6">
        <v>433.69900000000001</v>
      </c>
      <c r="N164" s="6">
        <v>433.69900000000001</v>
      </c>
      <c r="O164" s="6">
        <v>433.69900000000001</v>
      </c>
      <c r="P164" s="6">
        <v>939</v>
      </c>
      <c r="Q164" s="4" t="s">
        <v>26</v>
      </c>
      <c r="R164" s="4">
        <v>0</v>
      </c>
      <c r="S164" s="6">
        <v>0</v>
      </c>
      <c r="T164" s="6">
        <v>33</v>
      </c>
      <c r="U164" s="6">
        <v>64</v>
      </c>
      <c r="V164" s="6">
        <f>IF(ISERROR(VLOOKUP($S$164,'TAR FIN'!$A$1:$O$85,15,0)),0,VLOOKUP($S$164,'TAR FIN'!$A$1:$O$85,15,0))</f>
        <v>0</v>
      </c>
      <c r="W164" s="6">
        <f>IF(ISERROR(VLOOKUP($T$164,'TAR FIN'!$A$1:$O$85,15,0)),0,VLOOKUP($T$164,'TAR FIN'!$A$1:$O$85,15,0))</f>
        <v>267.20999999999998</v>
      </c>
      <c r="X164" s="6">
        <f>IF(ISERROR(VLOOKUP($U$164,'TAR FIN'!$A$1:$O$85,15,0)),0,VLOOKUP($U$164,'TAR FIN'!$A$1:$O$85,15,0))</f>
        <v>273.24</v>
      </c>
      <c r="Y164" s="6"/>
      <c r="Z164" s="6">
        <f ca="1">('TUSD BE'!$AM$33+'TUSD BF'!$AM$33+'TUSD CVA'!$AM$33)*(1-CUSTOS!$M$38)</f>
        <v>292.68592240777247</v>
      </c>
      <c r="AA164" s="6">
        <f>('TE BE'!$AB$23+'TE BF'!$AB$23+'TE CVA'!$AB$23)*(1-CUSTOS!$M$38)</f>
        <v>208.48457914810089</v>
      </c>
      <c r="AB164" s="6">
        <f>$K$164*$V$164</f>
        <v>0</v>
      </c>
      <c r="AC164" s="6">
        <f>$M$164*$W$164</f>
        <v>115888.70978999999</v>
      </c>
      <c r="AD164" s="6">
        <f>$O$164*$X$164</f>
        <v>118503.91476000001</v>
      </c>
      <c r="AE164" s="6">
        <f>$K$164*$Y$164</f>
        <v>0</v>
      </c>
      <c r="AF164" s="6">
        <f ca="1">$M$164*$Z$164</f>
        <v>126937.59186232851</v>
      </c>
      <c r="AG164" s="6">
        <f>$O$164*$AA$164</f>
        <v>90419.553491952218</v>
      </c>
    </row>
    <row r="165" spans="1:33" ht="11.25" customHeight="1" x14ac:dyDescent="0.3">
      <c r="A165" s="4" t="s">
        <v>41</v>
      </c>
      <c r="B165" s="4" t="s">
        <v>39</v>
      </c>
      <c r="C165" s="4" t="s">
        <v>23</v>
      </c>
      <c r="D165" s="4" t="s">
        <v>40</v>
      </c>
      <c r="E165" s="4" t="s">
        <v>25</v>
      </c>
      <c r="F165" s="4" t="s">
        <v>25</v>
      </c>
      <c r="G165" s="4" t="s">
        <v>25</v>
      </c>
      <c r="H165" s="4" t="s">
        <v>25</v>
      </c>
      <c r="I165" s="5">
        <v>44774</v>
      </c>
      <c r="J165" s="6">
        <v>0</v>
      </c>
      <c r="K165" s="6">
        <v>0</v>
      </c>
      <c r="L165" s="6">
        <v>30.49</v>
      </c>
      <c r="M165" s="6">
        <v>30.49</v>
      </c>
      <c r="N165" s="6">
        <v>30.49</v>
      </c>
      <c r="O165" s="6">
        <v>30.49</v>
      </c>
      <c r="P165" s="6">
        <v>32</v>
      </c>
      <c r="Q165" s="4" t="s">
        <v>26</v>
      </c>
      <c r="R165" s="4">
        <v>0</v>
      </c>
      <c r="S165" s="6">
        <v>0</v>
      </c>
      <c r="T165" s="6">
        <v>33</v>
      </c>
      <c r="U165" s="6">
        <v>64</v>
      </c>
      <c r="V165" s="6">
        <f>IF(ISERROR(VLOOKUP($S$165,'TAR FIN'!$A$1:$O$85,15,0)),0,VLOOKUP($S$165,'TAR FIN'!$A$1:$O$85,15,0))</f>
        <v>0</v>
      </c>
      <c r="W165" s="6">
        <f>IF(ISERROR(VLOOKUP($T$165,'TAR FIN'!$A$1:$O$85,15,0)),0,VLOOKUP($T$165,'TAR FIN'!$A$1:$O$85,15,0))</f>
        <v>267.20999999999998</v>
      </c>
      <c r="X165" s="6">
        <f>IF(ISERROR(VLOOKUP($U$165,'TAR FIN'!$A$1:$O$85,15,0)),0,VLOOKUP($U$165,'TAR FIN'!$A$1:$O$85,15,0))</f>
        <v>273.24</v>
      </c>
      <c r="Y165" s="6"/>
      <c r="Z165" s="6">
        <f ca="1">('TUSD BE'!$AM$33+'TUSD BF'!$AM$33+'TUSD CVA'!$AM$33)*(1-CUSTOS!$M$38)</f>
        <v>292.68592240777247</v>
      </c>
      <c r="AA165" s="6">
        <f>('TE BE'!$AB$23+'TE BF'!$AB$23+'TE CVA'!$AB$23)*(1-CUSTOS!$M$38)</f>
        <v>208.48457914810089</v>
      </c>
      <c r="AB165" s="6">
        <f>$K$165*$V$165</f>
        <v>0</v>
      </c>
      <c r="AC165" s="6">
        <f>$M$165*$W$165</f>
        <v>8147.2328999999991</v>
      </c>
      <c r="AD165" s="6">
        <f>$O$165*$X$165</f>
        <v>8331.0876000000007</v>
      </c>
      <c r="AE165" s="6">
        <f>$K$165*$Y$165</f>
        <v>0</v>
      </c>
      <c r="AF165" s="6">
        <f ca="1">$M$165*$Z$165</f>
        <v>8923.9937742129823</v>
      </c>
      <c r="AG165" s="6">
        <f>$O$165*$AA$165</f>
        <v>6356.6948182255956</v>
      </c>
    </row>
    <row r="166" spans="1:33" ht="11.25" customHeight="1" x14ac:dyDescent="0.3">
      <c r="A166" s="4" t="s">
        <v>21</v>
      </c>
      <c r="B166" s="4" t="s">
        <v>31</v>
      </c>
      <c r="C166" s="4" t="s">
        <v>23</v>
      </c>
      <c r="D166" s="4" t="s">
        <v>38</v>
      </c>
      <c r="E166" s="4" t="s">
        <v>25</v>
      </c>
      <c r="F166" s="4" t="s">
        <v>25</v>
      </c>
      <c r="G166" s="4" t="s">
        <v>25</v>
      </c>
      <c r="H166" s="4" t="s">
        <v>25</v>
      </c>
      <c r="I166" s="5">
        <v>44440</v>
      </c>
      <c r="J166" s="6">
        <v>0</v>
      </c>
      <c r="K166" s="6">
        <v>0</v>
      </c>
      <c r="L166" s="6">
        <v>18.245999999999999</v>
      </c>
      <c r="M166" s="6">
        <v>18.245999999999999</v>
      </c>
      <c r="N166" s="6">
        <v>18.245999999999999</v>
      </c>
      <c r="O166" s="6">
        <v>18.245999999999999</v>
      </c>
      <c r="P166" s="6">
        <v>45</v>
      </c>
      <c r="Q166" s="4" t="s">
        <v>26</v>
      </c>
      <c r="R166" s="4">
        <v>0</v>
      </c>
      <c r="S166" s="6">
        <v>0</v>
      </c>
      <c r="T166" s="6">
        <v>32</v>
      </c>
      <c r="U166" s="6">
        <v>55</v>
      </c>
      <c r="V166" s="6">
        <f>IF(ISERROR(VLOOKUP($S$166,'TAR FIN'!$A$1:$O$85,15,0)),0,VLOOKUP($S$166,'TAR FIN'!$A$1:$O$85,15,0))</f>
        <v>0</v>
      </c>
      <c r="W166" s="6">
        <f>IF(ISERROR(VLOOKUP($T$166,'TAR FIN'!$A$1:$O$85,15,0)),0,VLOOKUP($T$166,'TAR FIN'!$A$1:$O$85,15,0))</f>
        <v>303.64999999999998</v>
      </c>
      <c r="X166" s="6">
        <f>IF(ISERROR(VLOOKUP($U$166,'TAR FIN'!$A$1:$O$85,15,0)),0,VLOOKUP($U$166,'TAR FIN'!$A$1:$O$85,15,0))</f>
        <v>310.5</v>
      </c>
      <c r="Y166" s="6"/>
      <c r="Z166" s="6">
        <f ca="1">('TUSD BE'!$AM$48+'TUSD BF'!$AM$48+'TUSD CVA'!$AM$48)*1</f>
        <v>311.36800256146012</v>
      </c>
      <c r="AA166" s="6">
        <f>('TE BE'!$AB$38+'TE BF'!$AB$38+'TE CVA'!$AB$38)*1</f>
        <v>221.79210547670309</v>
      </c>
      <c r="AB166" s="6">
        <f>$K$166*$V$166</f>
        <v>0</v>
      </c>
      <c r="AC166" s="6">
        <f>$M$166*$W$166</f>
        <v>5540.397899999999</v>
      </c>
      <c r="AD166" s="6">
        <f>$O$166*$X$166</f>
        <v>5665.3829999999998</v>
      </c>
      <c r="AE166" s="6">
        <f>$K$166*$Y$166</f>
        <v>0</v>
      </c>
      <c r="AF166" s="6">
        <f ca="1">$M$166*$Z$166</f>
        <v>5681.2205747364005</v>
      </c>
      <c r="AG166" s="6">
        <f>$O$166*$AA$166</f>
        <v>4046.8187565279241</v>
      </c>
    </row>
    <row r="167" spans="1:33" ht="11.25" customHeight="1" x14ac:dyDescent="0.3">
      <c r="A167" s="4" t="s">
        <v>21</v>
      </c>
      <c r="B167" s="4" t="s">
        <v>31</v>
      </c>
      <c r="C167" s="4" t="s">
        <v>23</v>
      </c>
      <c r="D167" s="4" t="s">
        <v>38</v>
      </c>
      <c r="E167" s="4" t="s">
        <v>25</v>
      </c>
      <c r="F167" s="4" t="s">
        <v>25</v>
      </c>
      <c r="G167" s="4" t="s">
        <v>25</v>
      </c>
      <c r="H167" s="4" t="s">
        <v>25</v>
      </c>
      <c r="I167" s="5">
        <v>44470</v>
      </c>
      <c r="J167" s="6">
        <v>0</v>
      </c>
      <c r="K167" s="6">
        <v>0</v>
      </c>
      <c r="L167" s="6">
        <v>17.728000000000002</v>
      </c>
      <c r="M167" s="6">
        <v>17.728000000000002</v>
      </c>
      <c r="N167" s="6">
        <v>17.728000000000002</v>
      </c>
      <c r="O167" s="6">
        <v>17.728000000000002</v>
      </c>
      <c r="P167" s="6">
        <v>45</v>
      </c>
      <c r="Q167" s="4" t="s">
        <v>26</v>
      </c>
      <c r="R167" s="4">
        <v>0</v>
      </c>
      <c r="S167" s="6">
        <v>0</v>
      </c>
      <c r="T167" s="6">
        <v>32</v>
      </c>
      <c r="U167" s="6">
        <v>55</v>
      </c>
      <c r="V167" s="6">
        <f>IF(ISERROR(VLOOKUP($S$167,'TAR FIN'!$A$1:$O$85,15,0)),0,VLOOKUP($S$167,'TAR FIN'!$A$1:$O$85,15,0))</f>
        <v>0</v>
      </c>
      <c r="W167" s="6">
        <f>IF(ISERROR(VLOOKUP($T$167,'TAR FIN'!$A$1:$O$85,15,0)),0,VLOOKUP($T$167,'TAR FIN'!$A$1:$O$85,15,0))</f>
        <v>303.64999999999998</v>
      </c>
      <c r="X167" s="6">
        <f>IF(ISERROR(VLOOKUP($U$167,'TAR FIN'!$A$1:$O$85,15,0)),0,VLOOKUP($U$167,'TAR FIN'!$A$1:$O$85,15,0))</f>
        <v>310.5</v>
      </c>
      <c r="Y167" s="6"/>
      <c r="Z167" s="6">
        <f ca="1">('TUSD BE'!$AM$48+'TUSD BF'!$AM$48+'TUSD CVA'!$AM$48)*1</f>
        <v>311.36800256146012</v>
      </c>
      <c r="AA167" s="6">
        <f>('TE BE'!$AB$38+'TE BF'!$AB$38+'TE CVA'!$AB$38)*1</f>
        <v>221.79210547670309</v>
      </c>
      <c r="AB167" s="6">
        <f>$K$167*$V$167</f>
        <v>0</v>
      </c>
      <c r="AC167" s="6">
        <f>$M$167*$W$167</f>
        <v>5383.1072000000004</v>
      </c>
      <c r="AD167" s="6">
        <f>$O$167*$X$167</f>
        <v>5504.5440000000008</v>
      </c>
      <c r="AE167" s="6">
        <f>$K$167*$Y$167</f>
        <v>0</v>
      </c>
      <c r="AF167" s="6">
        <f ca="1">$M$167*$Z$167</f>
        <v>5519.9319494095653</v>
      </c>
      <c r="AG167" s="6">
        <f>$O$167*$AA$167</f>
        <v>3931.9304458909928</v>
      </c>
    </row>
    <row r="168" spans="1:33" ht="11.25" customHeight="1" x14ac:dyDescent="0.3">
      <c r="A168" s="4" t="s">
        <v>21</v>
      </c>
      <c r="B168" s="4" t="s">
        <v>31</v>
      </c>
      <c r="C168" s="4" t="s">
        <v>23</v>
      </c>
      <c r="D168" s="4" t="s">
        <v>38</v>
      </c>
      <c r="E168" s="4" t="s">
        <v>25</v>
      </c>
      <c r="F168" s="4" t="s">
        <v>25</v>
      </c>
      <c r="G168" s="4" t="s">
        <v>25</v>
      </c>
      <c r="H168" s="4" t="s">
        <v>25</v>
      </c>
      <c r="I168" s="5">
        <v>44501</v>
      </c>
      <c r="J168" s="6">
        <v>0</v>
      </c>
      <c r="K168" s="6">
        <v>0</v>
      </c>
      <c r="L168" s="6">
        <v>29.722000000000001</v>
      </c>
      <c r="M168" s="6">
        <v>29.722000000000001</v>
      </c>
      <c r="N168" s="6">
        <v>29.722000000000001</v>
      </c>
      <c r="O168" s="6">
        <v>29.722000000000001</v>
      </c>
      <c r="P168" s="6">
        <v>47</v>
      </c>
      <c r="Q168" s="4" t="s">
        <v>26</v>
      </c>
      <c r="R168" s="4">
        <v>0</v>
      </c>
      <c r="S168" s="6">
        <v>0</v>
      </c>
      <c r="T168" s="6">
        <v>32</v>
      </c>
      <c r="U168" s="6">
        <v>55</v>
      </c>
      <c r="V168" s="6">
        <f>IF(ISERROR(VLOOKUP($S$168,'TAR FIN'!$A$1:$O$85,15,0)),0,VLOOKUP($S$168,'TAR FIN'!$A$1:$O$85,15,0))</f>
        <v>0</v>
      </c>
      <c r="W168" s="6">
        <f>IF(ISERROR(VLOOKUP($T$168,'TAR FIN'!$A$1:$O$85,15,0)),0,VLOOKUP($T$168,'TAR FIN'!$A$1:$O$85,15,0))</f>
        <v>303.64999999999998</v>
      </c>
      <c r="X168" s="6">
        <f>IF(ISERROR(VLOOKUP($U$168,'TAR FIN'!$A$1:$O$85,15,0)),0,VLOOKUP($U$168,'TAR FIN'!$A$1:$O$85,15,0))</f>
        <v>310.5</v>
      </c>
      <c r="Y168" s="6"/>
      <c r="Z168" s="6">
        <f ca="1">('TUSD BE'!$AM$48+'TUSD BF'!$AM$48+'TUSD CVA'!$AM$48)*1</f>
        <v>311.36800256146012</v>
      </c>
      <c r="AA168" s="6">
        <f>('TE BE'!$AB$38+'TE BF'!$AB$38+'TE CVA'!$AB$38)*1</f>
        <v>221.79210547670309</v>
      </c>
      <c r="AB168" s="6">
        <f>$K$168*$V$168</f>
        <v>0</v>
      </c>
      <c r="AC168" s="6">
        <f>$M$168*$W$168</f>
        <v>9025.0852999999988</v>
      </c>
      <c r="AD168" s="6">
        <f>$O$168*$X$168</f>
        <v>9228.6810000000005</v>
      </c>
      <c r="AE168" s="6">
        <f>$K$168*$Y$168</f>
        <v>0</v>
      </c>
      <c r="AF168" s="6">
        <f ca="1">$M$168*$Z$168</f>
        <v>9254.4797721317173</v>
      </c>
      <c r="AG168" s="6">
        <f>$O$168*$AA$168</f>
        <v>6592.1049589785698</v>
      </c>
    </row>
    <row r="169" spans="1:33" ht="11.25" customHeight="1" x14ac:dyDescent="0.3">
      <c r="A169" s="4" t="s">
        <v>21</v>
      </c>
      <c r="B169" s="4" t="s">
        <v>31</v>
      </c>
      <c r="C169" s="4" t="s">
        <v>23</v>
      </c>
      <c r="D169" s="4" t="s">
        <v>38</v>
      </c>
      <c r="E169" s="4" t="s">
        <v>25</v>
      </c>
      <c r="F169" s="4" t="s">
        <v>25</v>
      </c>
      <c r="G169" s="4" t="s">
        <v>25</v>
      </c>
      <c r="H169" s="4" t="s">
        <v>25</v>
      </c>
      <c r="I169" s="5">
        <v>44531</v>
      </c>
      <c r="J169" s="6">
        <v>0</v>
      </c>
      <c r="K169" s="6">
        <v>0</v>
      </c>
      <c r="L169" s="6">
        <v>30.117000000000001</v>
      </c>
      <c r="M169" s="6">
        <v>30.117000000000001</v>
      </c>
      <c r="N169" s="6">
        <v>30.117000000000001</v>
      </c>
      <c r="O169" s="6">
        <v>30.117000000000001</v>
      </c>
      <c r="P169" s="6">
        <v>47</v>
      </c>
      <c r="Q169" s="4" t="s">
        <v>26</v>
      </c>
      <c r="R169" s="4">
        <v>0</v>
      </c>
      <c r="S169" s="6">
        <v>0</v>
      </c>
      <c r="T169" s="6">
        <v>32</v>
      </c>
      <c r="U169" s="6">
        <v>55</v>
      </c>
      <c r="V169" s="6">
        <f>IF(ISERROR(VLOOKUP($S$169,'TAR FIN'!$A$1:$O$85,15,0)),0,VLOOKUP($S$169,'TAR FIN'!$A$1:$O$85,15,0))</f>
        <v>0</v>
      </c>
      <c r="W169" s="6">
        <f>IF(ISERROR(VLOOKUP($T$169,'TAR FIN'!$A$1:$O$85,15,0)),0,VLOOKUP($T$169,'TAR FIN'!$A$1:$O$85,15,0))</f>
        <v>303.64999999999998</v>
      </c>
      <c r="X169" s="6">
        <f>IF(ISERROR(VLOOKUP($U$169,'TAR FIN'!$A$1:$O$85,15,0)),0,VLOOKUP($U$169,'TAR FIN'!$A$1:$O$85,15,0))</f>
        <v>310.5</v>
      </c>
      <c r="Y169" s="6"/>
      <c r="Z169" s="6">
        <f ca="1">('TUSD BE'!$AM$48+'TUSD BF'!$AM$48+'TUSD CVA'!$AM$48)*1</f>
        <v>311.36800256146012</v>
      </c>
      <c r="AA169" s="6">
        <f>('TE BE'!$AB$38+'TE BF'!$AB$38+'TE CVA'!$AB$38)*1</f>
        <v>221.79210547670309</v>
      </c>
      <c r="AB169" s="6">
        <f>$K$169*$V$169</f>
        <v>0</v>
      </c>
      <c r="AC169" s="6">
        <f>$M$169*$W$169</f>
        <v>9145.0270499999988</v>
      </c>
      <c r="AD169" s="6">
        <f>$O$169*$X$169</f>
        <v>9351.3284999999996</v>
      </c>
      <c r="AE169" s="6">
        <f>$K$169*$Y$169</f>
        <v>0</v>
      </c>
      <c r="AF169" s="6">
        <f ca="1">$M$169*$Z$169</f>
        <v>9377.4701331434953</v>
      </c>
      <c r="AG169" s="6">
        <f>$O$169*$AA$169</f>
        <v>6679.7128406418669</v>
      </c>
    </row>
    <row r="170" spans="1:33" ht="11.25" customHeight="1" x14ac:dyDescent="0.3">
      <c r="A170" s="4" t="s">
        <v>21</v>
      </c>
      <c r="B170" s="4" t="s">
        <v>31</v>
      </c>
      <c r="C170" s="4" t="s">
        <v>23</v>
      </c>
      <c r="D170" s="4" t="s">
        <v>38</v>
      </c>
      <c r="E170" s="4" t="s">
        <v>25</v>
      </c>
      <c r="F170" s="4" t="s">
        <v>25</v>
      </c>
      <c r="G170" s="4" t="s">
        <v>25</v>
      </c>
      <c r="H170" s="4" t="s">
        <v>25</v>
      </c>
      <c r="I170" s="5">
        <v>44562</v>
      </c>
      <c r="J170" s="6">
        <v>0</v>
      </c>
      <c r="K170" s="6">
        <v>0</v>
      </c>
      <c r="L170" s="6">
        <v>31.613</v>
      </c>
      <c r="M170" s="6">
        <v>31.613</v>
      </c>
      <c r="N170" s="6">
        <v>31.613</v>
      </c>
      <c r="O170" s="6">
        <v>31.613</v>
      </c>
      <c r="P170" s="6">
        <v>47</v>
      </c>
      <c r="Q170" s="4" t="s">
        <v>26</v>
      </c>
      <c r="R170" s="4">
        <v>0</v>
      </c>
      <c r="S170" s="6">
        <v>0</v>
      </c>
      <c r="T170" s="6">
        <v>32</v>
      </c>
      <c r="U170" s="6">
        <v>55</v>
      </c>
      <c r="V170" s="6">
        <f>IF(ISERROR(VLOOKUP($S$170,'TAR FIN'!$A$1:$O$85,15,0)),0,VLOOKUP($S$170,'TAR FIN'!$A$1:$O$85,15,0))</f>
        <v>0</v>
      </c>
      <c r="W170" s="6">
        <f>IF(ISERROR(VLOOKUP($T$170,'TAR FIN'!$A$1:$O$85,15,0)),0,VLOOKUP($T$170,'TAR FIN'!$A$1:$O$85,15,0))</f>
        <v>303.64999999999998</v>
      </c>
      <c r="X170" s="6">
        <f>IF(ISERROR(VLOOKUP($U$170,'TAR FIN'!$A$1:$O$85,15,0)),0,VLOOKUP($U$170,'TAR FIN'!$A$1:$O$85,15,0))</f>
        <v>310.5</v>
      </c>
      <c r="Y170" s="6"/>
      <c r="Z170" s="6">
        <f ca="1">('TUSD BE'!$AM$48+'TUSD BF'!$AM$48+'TUSD CVA'!$AM$48)*1</f>
        <v>311.36800256146012</v>
      </c>
      <c r="AA170" s="6">
        <f>('TE BE'!$AB$38+'TE BF'!$AB$38+'TE CVA'!$AB$38)*1</f>
        <v>221.79210547670309</v>
      </c>
      <c r="AB170" s="6">
        <f>$K$170*$V$170</f>
        <v>0</v>
      </c>
      <c r="AC170" s="6">
        <f>$M$170*$W$170</f>
        <v>9599.2874499999998</v>
      </c>
      <c r="AD170" s="6">
        <f>$O$170*$X$170</f>
        <v>9815.8364999999994</v>
      </c>
      <c r="AE170" s="6">
        <f>$K$170*$Y$170</f>
        <v>0</v>
      </c>
      <c r="AF170" s="6">
        <f ca="1">$M$170*$Z$170</f>
        <v>9843.2766649754394</v>
      </c>
      <c r="AG170" s="6">
        <f>$O$170*$AA$170</f>
        <v>7011.5138304350148</v>
      </c>
    </row>
    <row r="171" spans="1:33" ht="11.25" customHeight="1" x14ac:dyDescent="0.3">
      <c r="A171" s="4" t="s">
        <v>21</v>
      </c>
      <c r="B171" s="4" t="s">
        <v>31</v>
      </c>
      <c r="C171" s="4" t="s">
        <v>23</v>
      </c>
      <c r="D171" s="4" t="s">
        <v>38</v>
      </c>
      <c r="E171" s="4" t="s">
        <v>25</v>
      </c>
      <c r="F171" s="4" t="s">
        <v>25</v>
      </c>
      <c r="G171" s="4" t="s">
        <v>25</v>
      </c>
      <c r="H171" s="4" t="s">
        <v>25</v>
      </c>
      <c r="I171" s="5">
        <v>44593</v>
      </c>
      <c r="J171" s="6">
        <v>0</v>
      </c>
      <c r="K171" s="6">
        <v>0</v>
      </c>
      <c r="L171" s="6">
        <v>29.172000000000001</v>
      </c>
      <c r="M171" s="6">
        <v>29.172000000000001</v>
      </c>
      <c r="N171" s="6">
        <v>29.172000000000001</v>
      </c>
      <c r="O171" s="6">
        <v>29.172000000000001</v>
      </c>
      <c r="P171" s="6">
        <v>47</v>
      </c>
      <c r="Q171" s="4" t="s">
        <v>26</v>
      </c>
      <c r="R171" s="4">
        <v>0</v>
      </c>
      <c r="S171" s="6">
        <v>0</v>
      </c>
      <c r="T171" s="6">
        <v>32</v>
      </c>
      <c r="U171" s="6">
        <v>55</v>
      </c>
      <c r="V171" s="6">
        <f>IF(ISERROR(VLOOKUP($S$171,'TAR FIN'!$A$1:$O$85,15,0)),0,VLOOKUP($S$171,'TAR FIN'!$A$1:$O$85,15,0))</f>
        <v>0</v>
      </c>
      <c r="W171" s="6">
        <f>IF(ISERROR(VLOOKUP($T$171,'TAR FIN'!$A$1:$O$85,15,0)),0,VLOOKUP($T$171,'TAR FIN'!$A$1:$O$85,15,0))</f>
        <v>303.64999999999998</v>
      </c>
      <c r="X171" s="6">
        <f>IF(ISERROR(VLOOKUP($U$171,'TAR FIN'!$A$1:$O$85,15,0)),0,VLOOKUP($U$171,'TAR FIN'!$A$1:$O$85,15,0))</f>
        <v>310.5</v>
      </c>
      <c r="Y171" s="6"/>
      <c r="Z171" s="6">
        <f ca="1">('TUSD BE'!$AM$48+'TUSD BF'!$AM$48+'TUSD CVA'!$AM$48)*1</f>
        <v>311.36800256146012</v>
      </c>
      <c r="AA171" s="6">
        <f>('TE BE'!$AB$38+'TE BF'!$AB$38+'TE CVA'!$AB$38)*1</f>
        <v>221.79210547670309</v>
      </c>
      <c r="AB171" s="6">
        <f>$K$171*$V$171</f>
        <v>0</v>
      </c>
      <c r="AC171" s="6">
        <f>$M$171*$W$171</f>
        <v>8858.0777999999991</v>
      </c>
      <c r="AD171" s="6">
        <f>$O$171*$X$171</f>
        <v>9057.9060000000009</v>
      </c>
      <c r="AE171" s="6">
        <f>$K$171*$Y$171</f>
        <v>0</v>
      </c>
      <c r="AF171" s="6">
        <f ca="1">$M$171*$Z$171</f>
        <v>9083.2273707229142</v>
      </c>
      <c r="AG171" s="6">
        <f>$O$171*$AA$171</f>
        <v>6470.119300966383</v>
      </c>
    </row>
    <row r="172" spans="1:33" ht="11.25" customHeight="1" x14ac:dyDescent="0.3">
      <c r="A172" s="4" t="s">
        <v>21</v>
      </c>
      <c r="B172" s="4" t="s">
        <v>31</v>
      </c>
      <c r="C172" s="4" t="s">
        <v>23</v>
      </c>
      <c r="D172" s="4" t="s">
        <v>38</v>
      </c>
      <c r="E172" s="4" t="s">
        <v>25</v>
      </c>
      <c r="F172" s="4" t="s">
        <v>25</v>
      </c>
      <c r="G172" s="4" t="s">
        <v>25</v>
      </c>
      <c r="H172" s="4" t="s">
        <v>25</v>
      </c>
      <c r="I172" s="5">
        <v>44621</v>
      </c>
      <c r="J172" s="6">
        <v>0</v>
      </c>
      <c r="K172" s="6">
        <v>0</v>
      </c>
      <c r="L172" s="6">
        <v>25.01</v>
      </c>
      <c r="M172" s="6">
        <v>25.01</v>
      </c>
      <c r="N172" s="6">
        <v>25.01</v>
      </c>
      <c r="O172" s="6">
        <v>25.01</v>
      </c>
      <c r="P172" s="6">
        <v>47</v>
      </c>
      <c r="Q172" s="4" t="s">
        <v>26</v>
      </c>
      <c r="R172" s="4">
        <v>0</v>
      </c>
      <c r="S172" s="6">
        <v>0</v>
      </c>
      <c r="T172" s="6">
        <v>32</v>
      </c>
      <c r="U172" s="6">
        <v>55</v>
      </c>
      <c r="V172" s="6">
        <f>IF(ISERROR(VLOOKUP($S$172,'TAR FIN'!$A$1:$O$85,15,0)),0,VLOOKUP($S$172,'TAR FIN'!$A$1:$O$85,15,0))</f>
        <v>0</v>
      </c>
      <c r="W172" s="6">
        <f>IF(ISERROR(VLOOKUP($T$172,'TAR FIN'!$A$1:$O$85,15,0)),0,VLOOKUP($T$172,'TAR FIN'!$A$1:$O$85,15,0))</f>
        <v>303.64999999999998</v>
      </c>
      <c r="X172" s="6">
        <f>IF(ISERROR(VLOOKUP($U$172,'TAR FIN'!$A$1:$O$85,15,0)),0,VLOOKUP($U$172,'TAR FIN'!$A$1:$O$85,15,0))</f>
        <v>310.5</v>
      </c>
      <c r="Y172" s="6"/>
      <c r="Z172" s="6">
        <f ca="1">('TUSD BE'!$AM$48+'TUSD BF'!$AM$48+'TUSD CVA'!$AM$48)*1</f>
        <v>311.36800256146012</v>
      </c>
      <c r="AA172" s="6">
        <f>('TE BE'!$AB$38+'TE BF'!$AB$38+'TE CVA'!$AB$38)*1</f>
        <v>221.79210547670309</v>
      </c>
      <c r="AB172" s="6">
        <f>$K$172*$V$172</f>
        <v>0</v>
      </c>
      <c r="AC172" s="6">
        <f>$M$172*$W$172</f>
        <v>7594.2865000000002</v>
      </c>
      <c r="AD172" s="6">
        <f>$O$172*$X$172</f>
        <v>7765.6050000000005</v>
      </c>
      <c r="AE172" s="6">
        <f>$K$172*$Y$172</f>
        <v>0</v>
      </c>
      <c r="AF172" s="6">
        <f ca="1">$M$172*$Z$172</f>
        <v>7787.3137440621176</v>
      </c>
      <c r="AG172" s="6">
        <f>$O$172*$AA$172</f>
        <v>5547.0205579723442</v>
      </c>
    </row>
    <row r="173" spans="1:33" ht="11.25" customHeight="1" x14ac:dyDescent="0.3">
      <c r="A173" s="4" t="s">
        <v>21</v>
      </c>
      <c r="B173" s="4" t="s">
        <v>31</v>
      </c>
      <c r="C173" s="4" t="s">
        <v>23</v>
      </c>
      <c r="D173" s="4" t="s">
        <v>38</v>
      </c>
      <c r="E173" s="4" t="s">
        <v>25</v>
      </c>
      <c r="F173" s="4" t="s">
        <v>25</v>
      </c>
      <c r="G173" s="4" t="s">
        <v>25</v>
      </c>
      <c r="H173" s="4" t="s">
        <v>25</v>
      </c>
      <c r="I173" s="5">
        <v>44652</v>
      </c>
      <c r="J173" s="6">
        <v>0</v>
      </c>
      <c r="K173" s="6">
        <v>0</v>
      </c>
      <c r="L173" s="6">
        <v>22.893000000000001</v>
      </c>
      <c r="M173" s="6">
        <v>22.893000000000001</v>
      </c>
      <c r="N173" s="6">
        <v>22.893000000000001</v>
      </c>
      <c r="O173" s="6">
        <v>22.893000000000001</v>
      </c>
      <c r="P173" s="6">
        <v>47</v>
      </c>
      <c r="Q173" s="4" t="s">
        <v>26</v>
      </c>
      <c r="R173" s="4">
        <v>0</v>
      </c>
      <c r="S173" s="6">
        <v>0</v>
      </c>
      <c r="T173" s="6">
        <v>32</v>
      </c>
      <c r="U173" s="6">
        <v>55</v>
      </c>
      <c r="V173" s="6">
        <f>IF(ISERROR(VLOOKUP($S$173,'TAR FIN'!$A$1:$O$85,15,0)),0,VLOOKUP($S$173,'TAR FIN'!$A$1:$O$85,15,0))</f>
        <v>0</v>
      </c>
      <c r="W173" s="6">
        <f>IF(ISERROR(VLOOKUP($T$173,'TAR FIN'!$A$1:$O$85,15,0)),0,VLOOKUP($T$173,'TAR FIN'!$A$1:$O$85,15,0))</f>
        <v>303.64999999999998</v>
      </c>
      <c r="X173" s="6">
        <f>IF(ISERROR(VLOOKUP($U$173,'TAR FIN'!$A$1:$O$85,15,0)),0,VLOOKUP($U$173,'TAR FIN'!$A$1:$O$85,15,0))</f>
        <v>310.5</v>
      </c>
      <c r="Y173" s="6"/>
      <c r="Z173" s="6">
        <f ca="1">('TUSD BE'!$AM$48+'TUSD BF'!$AM$48+'TUSD CVA'!$AM$48)*1</f>
        <v>311.36800256146012</v>
      </c>
      <c r="AA173" s="6">
        <f>('TE BE'!$AB$38+'TE BF'!$AB$38+'TE CVA'!$AB$38)*1</f>
        <v>221.79210547670309</v>
      </c>
      <c r="AB173" s="6">
        <f>$K$173*$V$173</f>
        <v>0</v>
      </c>
      <c r="AC173" s="6">
        <f>$M$173*$W$173</f>
        <v>6951.4594499999994</v>
      </c>
      <c r="AD173" s="6">
        <f>$O$173*$X$173</f>
        <v>7108.2764999999999</v>
      </c>
      <c r="AE173" s="6">
        <f>$K$173*$Y$173</f>
        <v>0</v>
      </c>
      <c r="AF173" s="6">
        <f ca="1">$M$173*$Z$173</f>
        <v>7128.1476826395065</v>
      </c>
      <c r="AG173" s="6">
        <f>$O$173*$AA$173</f>
        <v>5077.486670678164</v>
      </c>
    </row>
    <row r="174" spans="1:33" ht="11.25" customHeight="1" x14ac:dyDescent="0.3">
      <c r="A174" s="4" t="s">
        <v>21</v>
      </c>
      <c r="B174" s="4" t="s">
        <v>31</v>
      </c>
      <c r="C174" s="4" t="s">
        <v>23</v>
      </c>
      <c r="D174" s="4" t="s">
        <v>38</v>
      </c>
      <c r="E174" s="4" t="s">
        <v>25</v>
      </c>
      <c r="F174" s="4" t="s">
        <v>25</v>
      </c>
      <c r="G174" s="4" t="s">
        <v>25</v>
      </c>
      <c r="H174" s="4" t="s">
        <v>25</v>
      </c>
      <c r="I174" s="5">
        <v>44682</v>
      </c>
      <c r="J174" s="6">
        <v>0</v>
      </c>
      <c r="K174" s="6">
        <v>0</v>
      </c>
      <c r="L174" s="6">
        <v>22.956</v>
      </c>
      <c r="M174" s="6">
        <v>22.956</v>
      </c>
      <c r="N174" s="6">
        <v>22.956</v>
      </c>
      <c r="O174" s="6">
        <v>22.956</v>
      </c>
      <c r="P174" s="6">
        <v>47</v>
      </c>
      <c r="Q174" s="4" t="s">
        <v>26</v>
      </c>
      <c r="R174" s="4">
        <v>0</v>
      </c>
      <c r="S174" s="6">
        <v>0</v>
      </c>
      <c r="T174" s="6">
        <v>32</v>
      </c>
      <c r="U174" s="6">
        <v>55</v>
      </c>
      <c r="V174" s="6">
        <f>IF(ISERROR(VLOOKUP($S$174,'TAR FIN'!$A$1:$O$85,15,0)),0,VLOOKUP($S$174,'TAR FIN'!$A$1:$O$85,15,0))</f>
        <v>0</v>
      </c>
      <c r="W174" s="6">
        <f>IF(ISERROR(VLOOKUP($T$174,'TAR FIN'!$A$1:$O$85,15,0)),0,VLOOKUP($T$174,'TAR FIN'!$A$1:$O$85,15,0))</f>
        <v>303.64999999999998</v>
      </c>
      <c r="X174" s="6">
        <f>IF(ISERROR(VLOOKUP($U$174,'TAR FIN'!$A$1:$O$85,15,0)),0,VLOOKUP($U$174,'TAR FIN'!$A$1:$O$85,15,0))</f>
        <v>310.5</v>
      </c>
      <c r="Y174" s="6"/>
      <c r="Z174" s="6">
        <f ca="1">('TUSD BE'!$AM$48+'TUSD BF'!$AM$48+'TUSD CVA'!$AM$48)*1</f>
        <v>311.36800256146012</v>
      </c>
      <c r="AA174" s="6">
        <f>('TE BE'!$AB$38+'TE BF'!$AB$38+'TE CVA'!$AB$38)*1</f>
        <v>221.79210547670309</v>
      </c>
      <c r="AB174" s="6">
        <f>$K$174*$V$174</f>
        <v>0</v>
      </c>
      <c r="AC174" s="6">
        <f>$M$174*$W$174</f>
        <v>6970.5893999999989</v>
      </c>
      <c r="AD174" s="6">
        <f>$O$174*$X$174</f>
        <v>7127.8379999999997</v>
      </c>
      <c r="AE174" s="6">
        <f>$K$174*$Y$174</f>
        <v>0</v>
      </c>
      <c r="AF174" s="6">
        <f ca="1">$M$174*$Z$174</f>
        <v>7147.7638668008785</v>
      </c>
      <c r="AG174" s="6">
        <f>$O$174*$AA$174</f>
        <v>5091.4595733231963</v>
      </c>
    </row>
    <row r="175" spans="1:33" ht="11.25" customHeight="1" x14ac:dyDescent="0.3">
      <c r="A175" s="4" t="s">
        <v>21</v>
      </c>
      <c r="B175" s="4" t="s">
        <v>31</v>
      </c>
      <c r="C175" s="4" t="s">
        <v>23</v>
      </c>
      <c r="D175" s="4" t="s">
        <v>38</v>
      </c>
      <c r="E175" s="4" t="s">
        <v>25</v>
      </c>
      <c r="F175" s="4" t="s">
        <v>25</v>
      </c>
      <c r="G175" s="4" t="s">
        <v>25</v>
      </c>
      <c r="H175" s="4" t="s">
        <v>25</v>
      </c>
      <c r="I175" s="5">
        <v>44713</v>
      </c>
      <c r="J175" s="6">
        <v>0</v>
      </c>
      <c r="K175" s="6">
        <v>0</v>
      </c>
      <c r="L175" s="6">
        <v>20.518000000000001</v>
      </c>
      <c r="M175" s="6">
        <v>20.518000000000001</v>
      </c>
      <c r="N175" s="6">
        <v>20.518000000000001</v>
      </c>
      <c r="O175" s="6">
        <v>20.518000000000001</v>
      </c>
      <c r="P175" s="6">
        <v>47</v>
      </c>
      <c r="Q175" s="4" t="s">
        <v>26</v>
      </c>
      <c r="R175" s="4">
        <v>0</v>
      </c>
      <c r="S175" s="6">
        <v>0</v>
      </c>
      <c r="T175" s="6">
        <v>32</v>
      </c>
      <c r="U175" s="6">
        <v>55</v>
      </c>
      <c r="V175" s="6">
        <f>IF(ISERROR(VLOOKUP($S$175,'TAR FIN'!$A$1:$O$85,15,0)),0,VLOOKUP($S$175,'TAR FIN'!$A$1:$O$85,15,0))</f>
        <v>0</v>
      </c>
      <c r="W175" s="6">
        <f>IF(ISERROR(VLOOKUP($T$175,'TAR FIN'!$A$1:$O$85,15,0)),0,VLOOKUP($T$175,'TAR FIN'!$A$1:$O$85,15,0))</f>
        <v>303.64999999999998</v>
      </c>
      <c r="X175" s="6">
        <f>IF(ISERROR(VLOOKUP($U$175,'TAR FIN'!$A$1:$O$85,15,0)),0,VLOOKUP($U$175,'TAR FIN'!$A$1:$O$85,15,0))</f>
        <v>310.5</v>
      </c>
      <c r="Y175" s="6"/>
      <c r="Z175" s="6">
        <f ca="1">('TUSD BE'!$AM$48+'TUSD BF'!$AM$48+'TUSD CVA'!$AM$48)*1</f>
        <v>311.36800256146012</v>
      </c>
      <c r="AA175" s="6">
        <f>('TE BE'!$AB$38+'TE BF'!$AB$38+'TE CVA'!$AB$38)*1</f>
        <v>221.79210547670309</v>
      </c>
      <c r="AB175" s="6">
        <f>$K$175*$V$175</f>
        <v>0</v>
      </c>
      <c r="AC175" s="6">
        <f>$M$175*$W$175</f>
        <v>6230.2906999999996</v>
      </c>
      <c r="AD175" s="6">
        <f>$O$175*$X$175</f>
        <v>6370.8389999999999</v>
      </c>
      <c r="AE175" s="6">
        <f>$K$175*$Y$175</f>
        <v>0</v>
      </c>
      <c r="AF175" s="6">
        <f ca="1">$M$175*$Z$175</f>
        <v>6388.6486765560385</v>
      </c>
      <c r="AG175" s="6">
        <f>$O$175*$AA$175</f>
        <v>4550.730420170994</v>
      </c>
    </row>
    <row r="176" spans="1:33" ht="11.25" customHeight="1" x14ac:dyDescent="0.3">
      <c r="A176" s="4" t="s">
        <v>21</v>
      </c>
      <c r="B176" s="4" t="s">
        <v>31</v>
      </c>
      <c r="C176" s="4" t="s">
        <v>23</v>
      </c>
      <c r="D176" s="4" t="s">
        <v>38</v>
      </c>
      <c r="E176" s="4" t="s">
        <v>25</v>
      </c>
      <c r="F176" s="4" t="s">
        <v>25</v>
      </c>
      <c r="G176" s="4" t="s">
        <v>25</v>
      </c>
      <c r="H176" s="4" t="s">
        <v>25</v>
      </c>
      <c r="I176" s="5">
        <v>44743</v>
      </c>
      <c r="J176" s="6">
        <v>0</v>
      </c>
      <c r="K176" s="6">
        <v>0</v>
      </c>
      <c r="L176" s="6">
        <v>19.463999999999999</v>
      </c>
      <c r="M176" s="6">
        <v>19.463999999999999</v>
      </c>
      <c r="N176" s="6">
        <v>19.463999999999999</v>
      </c>
      <c r="O176" s="6">
        <v>19.463999999999999</v>
      </c>
      <c r="P176" s="6">
        <v>49</v>
      </c>
      <c r="Q176" s="4" t="s">
        <v>26</v>
      </c>
      <c r="R176" s="4">
        <v>0</v>
      </c>
      <c r="S176" s="6">
        <v>0</v>
      </c>
      <c r="T176" s="6">
        <v>32</v>
      </c>
      <c r="U176" s="6">
        <v>55</v>
      </c>
      <c r="V176" s="6">
        <f>IF(ISERROR(VLOOKUP($S$176,'TAR FIN'!$A$1:$O$85,15,0)),0,VLOOKUP($S$176,'TAR FIN'!$A$1:$O$85,15,0))</f>
        <v>0</v>
      </c>
      <c r="W176" s="6">
        <f>IF(ISERROR(VLOOKUP($T$176,'TAR FIN'!$A$1:$O$85,15,0)),0,VLOOKUP($T$176,'TAR FIN'!$A$1:$O$85,15,0))</f>
        <v>303.64999999999998</v>
      </c>
      <c r="X176" s="6">
        <f>IF(ISERROR(VLOOKUP($U$176,'TAR FIN'!$A$1:$O$85,15,0)),0,VLOOKUP($U$176,'TAR FIN'!$A$1:$O$85,15,0))</f>
        <v>310.5</v>
      </c>
      <c r="Y176" s="6"/>
      <c r="Z176" s="6">
        <f ca="1">('TUSD BE'!$AM$48+'TUSD BF'!$AM$48+'TUSD CVA'!$AM$48)*1</f>
        <v>311.36800256146012</v>
      </c>
      <c r="AA176" s="6">
        <f>('TE BE'!$AB$38+'TE BF'!$AB$38+'TE CVA'!$AB$38)*1</f>
        <v>221.79210547670309</v>
      </c>
      <c r="AB176" s="6">
        <f>$K$176*$V$176</f>
        <v>0</v>
      </c>
      <c r="AC176" s="6">
        <f>$M$176*$W$176</f>
        <v>5910.2435999999989</v>
      </c>
      <c r="AD176" s="6">
        <f>$O$176*$X$176</f>
        <v>6043.5719999999992</v>
      </c>
      <c r="AE176" s="6">
        <f>$K$176*$Y$176</f>
        <v>0</v>
      </c>
      <c r="AF176" s="6">
        <f ca="1">$M$176*$Z$176</f>
        <v>6060.4668018562588</v>
      </c>
      <c r="AG176" s="6">
        <f>$O$176*$AA$176</f>
        <v>4316.9615409985481</v>
      </c>
    </row>
    <row r="177" spans="1:33" ht="11.25" customHeight="1" x14ac:dyDescent="0.3">
      <c r="A177" s="4" t="s">
        <v>21</v>
      </c>
      <c r="B177" s="4" t="s">
        <v>31</v>
      </c>
      <c r="C177" s="4" t="s">
        <v>23</v>
      </c>
      <c r="D177" s="4" t="s">
        <v>38</v>
      </c>
      <c r="E177" s="4" t="s">
        <v>25</v>
      </c>
      <c r="F177" s="4" t="s">
        <v>25</v>
      </c>
      <c r="G177" s="4" t="s">
        <v>25</v>
      </c>
      <c r="H177" s="4" t="s">
        <v>25</v>
      </c>
      <c r="I177" s="5">
        <v>44774</v>
      </c>
      <c r="J177" s="6">
        <v>0</v>
      </c>
      <c r="K177" s="6">
        <v>0</v>
      </c>
      <c r="L177" s="6">
        <v>21.457999999999998</v>
      </c>
      <c r="M177" s="6">
        <v>21.457999999999998</v>
      </c>
      <c r="N177" s="6">
        <v>21.457999999999998</v>
      </c>
      <c r="O177" s="6">
        <v>21.457999999999998</v>
      </c>
      <c r="P177" s="6">
        <v>49</v>
      </c>
      <c r="Q177" s="4" t="s">
        <v>26</v>
      </c>
      <c r="R177" s="4">
        <v>0</v>
      </c>
      <c r="S177" s="6">
        <v>0</v>
      </c>
      <c r="T177" s="6">
        <v>32</v>
      </c>
      <c r="U177" s="6">
        <v>55</v>
      </c>
      <c r="V177" s="6">
        <f>IF(ISERROR(VLOOKUP($S$177,'TAR FIN'!$A$1:$O$85,15,0)),0,VLOOKUP($S$177,'TAR FIN'!$A$1:$O$85,15,0))</f>
        <v>0</v>
      </c>
      <c r="W177" s="6">
        <f>IF(ISERROR(VLOOKUP($T$177,'TAR FIN'!$A$1:$O$85,15,0)),0,VLOOKUP($T$177,'TAR FIN'!$A$1:$O$85,15,0))</f>
        <v>303.64999999999998</v>
      </c>
      <c r="X177" s="6">
        <f>IF(ISERROR(VLOOKUP($U$177,'TAR FIN'!$A$1:$O$85,15,0)),0,VLOOKUP($U$177,'TAR FIN'!$A$1:$O$85,15,0))</f>
        <v>310.5</v>
      </c>
      <c r="Y177" s="6"/>
      <c r="Z177" s="6">
        <f ca="1">('TUSD BE'!$AM$48+'TUSD BF'!$AM$48+'TUSD CVA'!$AM$48)*1</f>
        <v>311.36800256146012</v>
      </c>
      <c r="AA177" s="6">
        <f>('TE BE'!$AB$38+'TE BF'!$AB$38+'TE CVA'!$AB$38)*1</f>
        <v>221.79210547670309</v>
      </c>
      <c r="AB177" s="6">
        <f>$K$177*$V$177</f>
        <v>0</v>
      </c>
      <c r="AC177" s="6">
        <f>$M$177*$W$177</f>
        <v>6515.7216999999991</v>
      </c>
      <c r="AD177" s="6">
        <f>$O$177*$X$177</f>
        <v>6662.7089999999998</v>
      </c>
      <c r="AE177" s="6">
        <f>$K$177*$Y$177</f>
        <v>0</v>
      </c>
      <c r="AF177" s="6">
        <f ca="1">$M$177*$Z$177</f>
        <v>6681.334598963811</v>
      </c>
      <c r="AG177" s="6">
        <f>$O$177*$AA$177</f>
        <v>4759.2149993190942</v>
      </c>
    </row>
    <row r="178" spans="1:33" ht="11.25" customHeight="1" x14ac:dyDescent="0.3">
      <c r="A178" s="4" t="s">
        <v>21</v>
      </c>
      <c r="B178" s="4" t="s">
        <v>31</v>
      </c>
      <c r="C178" s="4" t="s">
        <v>23</v>
      </c>
      <c r="D178" s="4" t="s">
        <v>32</v>
      </c>
      <c r="E178" s="4" t="s">
        <v>25</v>
      </c>
      <c r="F178" s="4" t="s">
        <v>25</v>
      </c>
      <c r="G178" s="4" t="s">
        <v>25</v>
      </c>
      <c r="H178" s="4" t="s">
        <v>25</v>
      </c>
      <c r="I178" s="5">
        <v>44440</v>
      </c>
      <c r="J178" s="6">
        <v>0</v>
      </c>
      <c r="K178" s="6">
        <v>0</v>
      </c>
      <c r="L178" s="6">
        <v>0.33600000000000002</v>
      </c>
      <c r="M178" s="6">
        <v>0.33600000000000002</v>
      </c>
      <c r="N178" s="6">
        <v>0.33600000000000002</v>
      </c>
      <c r="O178" s="6">
        <v>0.33600000000000002</v>
      </c>
      <c r="P178" s="6">
        <v>2</v>
      </c>
      <c r="Q178" s="4" t="s">
        <v>26</v>
      </c>
      <c r="R178" s="4">
        <v>0</v>
      </c>
      <c r="S178" s="6">
        <v>0</v>
      </c>
      <c r="T178" s="6">
        <v>32</v>
      </c>
      <c r="U178" s="6">
        <v>55</v>
      </c>
      <c r="V178" s="6">
        <f>IF(ISERROR(VLOOKUP($S$178,'TAR FIN'!$A$1:$O$85,15,0)),0,VLOOKUP($S$178,'TAR FIN'!$A$1:$O$85,15,0))</f>
        <v>0</v>
      </c>
      <c r="W178" s="6">
        <f>IF(ISERROR(VLOOKUP($T$178,'TAR FIN'!$A$1:$O$85,15,0)),0,VLOOKUP($T$178,'TAR FIN'!$A$1:$O$85,15,0))</f>
        <v>303.64999999999998</v>
      </c>
      <c r="X178" s="6">
        <f>IF(ISERROR(VLOOKUP($U$178,'TAR FIN'!$A$1:$O$85,15,0)),0,VLOOKUP($U$178,'TAR FIN'!$A$1:$O$85,15,0))</f>
        <v>310.5</v>
      </c>
      <c r="Y178" s="6"/>
      <c r="Z178" s="6">
        <f ca="1">('TUSD BE'!$AM$48+'TUSD BF'!$AM$48+'TUSD CVA'!$AM$48)*1</f>
        <v>311.36800256146012</v>
      </c>
      <c r="AA178" s="6">
        <f>('TE BE'!$AB$38+'TE BF'!$AB$38+'TE CVA'!$AB$38)*1</f>
        <v>221.79210547670309</v>
      </c>
      <c r="AB178" s="6">
        <f>$K$178*$V$178</f>
        <v>0</v>
      </c>
      <c r="AC178" s="6">
        <f>$M$178*$W$178</f>
        <v>102.0264</v>
      </c>
      <c r="AD178" s="6">
        <f>$O$178*$X$178</f>
        <v>104.328</v>
      </c>
      <c r="AE178" s="6">
        <f>$K$178*$Y$178</f>
        <v>0</v>
      </c>
      <c r="AF178" s="6">
        <f ca="1">$M$178*$Z$178</f>
        <v>104.6196488606506</v>
      </c>
      <c r="AG178" s="6">
        <f>$O$178*$AA$178</f>
        <v>74.522147440172247</v>
      </c>
    </row>
    <row r="179" spans="1:33" ht="11.25" customHeight="1" x14ac:dyDescent="0.3">
      <c r="A179" s="4" t="s">
        <v>21</v>
      </c>
      <c r="B179" s="4" t="s">
        <v>31</v>
      </c>
      <c r="C179" s="4" t="s">
        <v>23</v>
      </c>
      <c r="D179" s="4" t="s">
        <v>32</v>
      </c>
      <c r="E179" s="4" t="s">
        <v>25</v>
      </c>
      <c r="F179" s="4" t="s">
        <v>25</v>
      </c>
      <c r="G179" s="4" t="s">
        <v>25</v>
      </c>
      <c r="H179" s="4" t="s">
        <v>25</v>
      </c>
      <c r="I179" s="5">
        <v>44470</v>
      </c>
      <c r="J179" s="6">
        <v>0</v>
      </c>
      <c r="K179" s="6">
        <v>0</v>
      </c>
      <c r="L179" s="6">
        <v>0.36199999999999999</v>
      </c>
      <c r="M179" s="6">
        <v>0.36199999999999999</v>
      </c>
      <c r="N179" s="6">
        <v>0.36199999999999999</v>
      </c>
      <c r="O179" s="6">
        <v>0.36199999999999999</v>
      </c>
      <c r="P179" s="6">
        <v>2</v>
      </c>
      <c r="Q179" s="4" t="s">
        <v>26</v>
      </c>
      <c r="R179" s="4">
        <v>0</v>
      </c>
      <c r="S179" s="6">
        <v>0</v>
      </c>
      <c r="T179" s="6">
        <v>32</v>
      </c>
      <c r="U179" s="6">
        <v>55</v>
      </c>
      <c r="V179" s="6">
        <f>IF(ISERROR(VLOOKUP($S$179,'TAR FIN'!$A$1:$O$85,15,0)),0,VLOOKUP($S$179,'TAR FIN'!$A$1:$O$85,15,0))</f>
        <v>0</v>
      </c>
      <c r="W179" s="6">
        <f>IF(ISERROR(VLOOKUP($T$179,'TAR FIN'!$A$1:$O$85,15,0)),0,VLOOKUP($T$179,'TAR FIN'!$A$1:$O$85,15,0))</f>
        <v>303.64999999999998</v>
      </c>
      <c r="X179" s="6">
        <f>IF(ISERROR(VLOOKUP($U$179,'TAR FIN'!$A$1:$O$85,15,0)),0,VLOOKUP($U$179,'TAR FIN'!$A$1:$O$85,15,0))</f>
        <v>310.5</v>
      </c>
      <c r="Y179" s="6"/>
      <c r="Z179" s="6">
        <f ca="1">('TUSD BE'!$AM$48+'TUSD BF'!$AM$48+'TUSD CVA'!$AM$48)*1</f>
        <v>311.36800256146012</v>
      </c>
      <c r="AA179" s="6">
        <f>('TE BE'!$AB$38+'TE BF'!$AB$38+'TE CVA'!$AB$38)*1</f>
        <v>221.79210547670309</v>
      </c>
      <c r="AB179" s="6">
        <f>$K$179*$V$179</f>
        <v>0</v>
      </c>
      <c r="AC179" s="6">
        <f>$M$179*$W$179</f>
        <v>109.92129999999999</v>
      </c>
      <c r="AD179" s="6">
        <f>$O$179*$X$179</f>
        <v>112.401</v>
      </c>
      <c r="AE179" s="6">
        <f>$K$179*$Y$179</f>
        <v>0</v>
      </c>
      <c r="AF179" s="6">
        <f ca="1">$M$179*$Z$179</f>
        <v>112.71521692724856</v>
      </c>
      <c r="AG179" s="6">
        <f>$O$179*$AA$179</f>
        <v>80.288742182566509</v>
      </c>
    </row>
    <row r="180" spans="1:33" ht="11.25" customHeight="1" x14ac:dyDescent="0.3">
      <c r="A180" s="4" t="s">
        <v>21</v>
      </c>
      <c r="B180" s="4" t="s">
        <v>31</v>
      </c>
      <c r="C180" s="4" t="s">
        <v>23</v>
      </c>
      <c r="D180" s="4" t="s">
        <v>32</v>
      </c>
      <c r="E180" s="4" t="s">
        <v>25</v>
      </c>
      <c r="F180" s="4" t="s">
        <v>25</v>
      </c>
      <c r="G180" s="4" t="s">
        <v>25</v>
      </c>
      <c r="H180" s="4" t="s">
        <v>25</v>
      </c>
      <c r="I180" s="5">
        <v>44501</v>
      </c>
      <c r="J180" s="6">
        <v>0</v>
      </c>
      <c r="K180" s="6">
        <v>0</v>
      </c>
      <c r="L180" s="6">
        <v>0.42</v>
      </c>
      <c r="M180" s="6">
        <v>0.42</v>
      </c>
      <c r="N180" s="6">
        <v>0.42</v>
      </c>
      <c r="O180" s="6">
        <v>0.42</v>
      </c>
      <c r="P180" s="6">
        <v>2</v>
      </c>
      <c r="Q180" s="4" t="s">
        <v>26</v>
      </c>
      <c r="R180" s="4">
        <v>0</v>
      </c>
      <c r="S180" s="6">
        <v>0</v>
      </c>
      <c r="T180" s="6">
        <v>32</v>
      </c>
      <c r="U180" s="6">
        <v>55</v>
      </c>
      <c r="V180" s="6">
        <f>IF(ISERROR(VLOOKUP($S$180,'TAR FIN'!$A$1:$O$85,15,0)),0,VLOOKUP($S$180,'TAR FIN'!$A$1:$O$85,15,0))</f>
        <v>0</v>
      </c>
      <c r="W180" s="6">
        <f>IF(ISERROR(VLOOKUP($T$180,'TAR FIN'!$A$1:$O$85,15,0)),0,VLOOKUP($T$180,'TAR FIN'!$A$1:$O$85,15,0))</f>
        <v>303.64999999999998</v>
      </c>
      <c r="X180" s="6">
        <f>IF(ISERROR(VLOOKUP($U$180,'TAR FIN'!$A$1:$O$85,15,0)),0,VLOOKUP($U$180,'TAR FIN'!$A$1:$O$85,15,0))</f>
        <v>310.5</v>
      </c>
      <c r="Y180" s="6"/>
      <c r="Z180" s="6">
        <f ca="1">('TUSD BE'!$AM$48+'TUSD BF'!$AM$48+'TUSD CVA'!$AM$48)*1</f>
        <v>311.36800256146012</v>
      </c>
      <c r="AA180" s="6">
        <f>('TE BE'!$AB$38+'TE BF'!$AB$38+'TE CVA'!$AB$38)*1</f>
        <v>221.79210547670309</v>
      </c>
      <c r="AB180" s="6">
        <f>$K$180*$V$180</f>
        <v>0</v>
      </c>
      <c r="AC180" s="6">
        <f>$M$180*$W$180</f>
        <v>127.53299999999999</v>
      </c>
      <c r="AD180" s="6">
        <f>$O$180*$X$180</f>
        <v>130.41</v>
      </c>
      <c r="AE180" s="6">
        <f>$K$180*$Y$180</f>
        <v>0</v>
      </c>
      <c r="AF180" s="6">
        <f ca="1">$M$180*$Z$180</f>
        <v>130.77456107581324</v>
      </c>
      <c r="AG180" s="6">
        <f>$O$180*$AA$180</f>
        <v>93.152684300215299</v>
      </c>
    </row>
    <row r="181" spans="1:33" ht="11.25" customHeight="1" x14ac:dyDescent="0.3">
      <c r="A181" s="4" t="s">
        <v>21</v>
      </c>
      <c r="B181" s="4" t="s">
        <v>31</v>
      </c>
      <c r="C181" s="4" t="s">
        <v>23</v>
      </c>
      <c r="D181" s="4" t="s">
        <v>32</v>
      </c>
      <c r="E181" s="4" t="s">
        <v>25</v>
      </c>
      <c r="F181" s="4" t="s">
        <v>25</v>
      </c>
      <c r="G181" s="4" t="s">
        <v>25</v>
      </c>
      <c r="H181" s="4" t="s">
        <v>25</v>
      </c>
      <c r="I181" s="5">
        <v>44531</v>
      </c>
      <c r="J181" s="6">
        <v>0</v>
      </c>
      <c r="K181" s="6">
        <v>0</v>
      </c>
      <c r="L181" s="6">
        <v>0.40100000000000002</v>
      </c>
      <c r="M181" s="6">
        <v>0.40100000000000002</v>
      </c>
      <c r="N181" s="6">
        <v>0.40100000000000002</v>
      </c>
      <c r="O181" s="6">
        <v>0.40100000000000002</v>
      </c>
      <c r="P181" s="6">
        <v>2</v>
      </c>
      <c r="Q181" s="4" t="s">
        <v>26</v>
      </c>
      <c r="R181" s="4">
        <v>0</v>
      </c>
      <c r="S181" s="6">
        <v>0</v>
      </c>
      <c r="T181" s="6">
        <v>32</v>
      </c>
      <c r="U181" s="6">
        <v>55</v>
      </c>
      <c r="V181" s="6">
        <f>IF(ISERROR(VLOOKUP($S$181,'TAR FIN'!$A$1:$O$85,15,0)),0,VLOOKUP($S$181,'TAR FIN'!$A$1:$O$85,15,0))</f>
        <v>0</v>
      </c>
      <c r="W181" s="6">
        <f>IF(ISERROR(VLOOKUP($T$181,'TAR FIN'!$A$1:$O$85,15,0)),0,VLOOKUP($T$181,'TAR FIN'!$A$1:$O$85,15,0))</f>
        <v>303.64999999999998</v>
      </c>
      <c r="X181" s="6">
        <f>IF(ISERROR(VLOOKUP($U$181,'TAR FIN'!$A$1:$O$85,15,0)),0,VLOOKUP($U$181,'TAR FIN'!$A$1:$O$85,15,0))</f>
        <v>310.5</v>
      </c>
      <c r="Y181" s="6"/>
      <c r="Z181" s="6">
        <f ca="1">('TUSD BE'!$AM$48+'TUSD BF'!$AM$48+'TUSD CVA'!$AM$48)*1</f>
        <v>311.36800256146012</v>
      </c>
      <c r="AA181" s="6">
        <f>('TE BE'!$AB$38+'TE BF'!$AB$38+'TE CVA'!$AB$38)*1</f>
        <v>221.79210547670309</v>
      </c>
      <c r="AB181" s="6">
        <f>$K$181*$V$181</f>
        <v>0</v>
      </c>
      <c r="AC181" s="6">
        <f>$M$181*$W$181</f>
        <v>121.76365</v>
      </c>
      <c r="AD181" s="6">
        <f>$O$181*$X$181</f>
        <v>124.51050000000001</v>
      </c>
      <c r="AE181" s="6">
        <f>$K$181*$Y$181</f>
        <v>0</v>
      </c>
      <c r="AF181" s="6">
        <f ca="1">$M$181*$Z$181</f>
        <v>124.85856902714552</v>
      </c>
      <c r="AG181" s="6">
        <f>$O$181*$AA$181</f>
        <v>88.938634296157943</v>
      </c>
    </row>
    <row r="182" spans="1:33" ht="11.25" customHeight="1" x14ac:dyDescent="0.3">
      <c r="A182" s="4" t="s">
        <v>21</v>
      </c>
      <c r="B182" s="4" t="s">
        <v>31</v>
      </c>
      <c r="C182" s="4" t="s">
        <v>23</v>
      </c>
      <c r="D182" s="4" t="s">
        <v>32</v>
      </c>
      <c r="E182" s="4" t="s">
        <v>25</v>
      </c>
      <c r="F182" s="4" t="s">
        <v>25</v>
      </c>
      <c r="G182" s="4" t="s">
        <v>25</v>
      </c>
      <c r="H182" s="4" t="s">
        <v>25</v>
      </c>
      <c r="I182" s="5">
        <v>44562</v>
      </c>
      <c r="J182" s="6">
        <v>0</v>
      </c>
      <c r="K182" s="6">
        <v>0</v>
      </c>
      <c r="L182" s="6">
        <v>2.3570000000000002</v>
      </c>
      <c r="M182" s="6">
        <v>2.3570000000000002</v>
      </c>
      <c r="N182" s="6">
        <v>2.3570000000000002</v>
      </c>
      <c r="O182" s="6">
        <v>2.3570000000000002</v>
      </c>
      <c r="P182" s="6">
        <v>2</v>
      </c>
      <c r="Q182" s="4" t="s">
        <v>26</v>
      </c>
      <c r="R182" s="4">
        <v>0</v>
      </c>
      <c r="S182" s="6">
        <v>0</v>
      </c>
      <c r="T182" s="6">
        <v>32</v>
      </c>
      <c r="U182" s="6">
        <v>55</v>
      </c>
      <c r="V182" s="6">
        <f>IF(ISERROR(VLOOKUP($S$182,'TAR FIN'!$A$1:$O$85,15,0)),0,VLOOKUP($S$182,'TAR FIN'!$A$1:$O$85,15,0))</f>
        <v>0</v>
      </c>
      <c r="W182" s="6">
        <f>IF(ISERROR(VLOOKUP($T$182,'TAR FIN'!$A$1:$O$85,15,0)),0,VLOOKUP($T$182,'TAR FIN'!$A$1:$O$85,15,0))</f>
        <v>303.64999999999998</v>
      </c>
      <c r="X182" s="6">
        <f>IF(ISERROR(VLOOKUP($U$182,'TAR FIN'!$A$1:$O$85,15,0)),0,VLOOKUP($U$182,'TAR FIN'!$A$1:$O$85,15,0))</f>
        <v>310.5</v>
      </c>
      <c r="Y182" s="6"/>
      <c r="Z182" s="6">
        <f ca="1">('TUSD BE'!$AM$48+'TUSD BF'!$AM$48+'TUSD CVA'!$AM$48)*1</f>
        <v>311.36800256146012</v>
      </c>
      <c r="AA182" s="6">
        <f>('TE BE'!$AB$38+'TE BF'!$AB$38+'TE CVA'!$AB$38)*1</f>
        <v>221.79210547670309</v>
      </c>
      <c r="AB182" s="6">
        <f>$K$182*$V$182</f>
        <v>0</v>
      </c>
      <c r="AC182" s="6">
        <f>$M$182*$W$182</f>
        <v>715.70304999999996</v>
      </c>
      <c r="AD182" s="6">
        <f>$O$182*$X$182</f>
        <v>731.84850000000006</v>
      </c>
      <c r="AE182" s="6">
        <f>$K$182*$Y$182</f>
        <v>0</v>
      </c>
      <c r="AF182" s="6">
        <f ca="1">$M$182*$Z$182</f>
        <v>733.89438203736154</v>
      </c>
      <c r="AG182" s="6">
        <f>$O$182*$AA$182</f>
        <v>522.76399260858921</v>
      </c>
    </row>
    <row r="183" spans="1:33" ht="11.25" customHeight="1" x14ac:dyDescent="0.3">
      <c r="A183" s="4" t="s">
        <v>21</v>
      </c>
      <c r="B183" s="4" t="s">
        <v>31</v>
      </c>
      <c r="C183" s="4" t="s">
        <v>23</v>
      </c>
      <c r="D183" s="4" t="s">
        <v>32</v>
      </c>
      <c r="E183" s="4" t="s">
        <v>25</v>
      </c>
      <c r="F183" s="4" t="s">
        <v>25</v>
      </c>
      <c r="G183" s="4" t="s">
        <v>25</v>
      </c>
      <c r="H183" s="4" t="s">
        <v>25</v>
      </c>
      <c r="I183" s="5">
        <v>44593</v>
      </c>
      <c r="J183" s="6">
        <v>0</v>
      </c>
      <c r="K183" s="6">
        <v>0</v>
      </c>
      <c r="L183" s="6">
        <v>1.248</v>
      </c>
      <c r="M183" s="6">
        <v>1.248</v>
      </c>
      <c r="N183" s="6">
        <v>1.248</v>
      </c>
      <c r="O183" s="6">
        <v>1.248</v>
      </c>
      <c r="P183" s="6">
        <v>2</v>
      </c>
      <c r="Q183" s="4" t="s">
        <v>26</v>
      </c>
      <c r="R183" s="4">
        <v>0</v>
      </c>
      <c r="S183" s="6">
        <v>0</v>
      </c>
      <c r="T183" s="6">
        <v>32</v>
      </c>
      <c r="U183" s="6">
        <v>55</v>
      </c>
      <c r="V183" s="6">
        <f>IF(ISERROR(VLOOKUP($S$183,'TAR FIN'!$A$1:$O$85,15,0)),0,VLOOKUP($S$183,'TAR FIN'!$A$1:$O$85,15,0))</f>
        <v>0</v>
      </c>
      <c r="W183" s="6">
        <f>IF(ISERROR(VLOOKUP($T$183,'TAR FIN'!$A$1:$O$85,15,0)),0,VLOOKUP($T$183,'TAR FIN'!$A$1:$O$85,15,0))</f>
        <v>303.64999999999998</v>
      </c>
      <c r="X183" s="6">
        <f>IF(ISERROR(VLOOKUP($U$183,'TAR FIN'!$A$1:$O$85,15,0)),0,VLOOKUP($U$183,'TAR FIN'!$A$1:$O$85,15,0))</f>
        <v>310.5</v>
      </c>
      <c r="Y183" s="6"/>
      <c r="Z183" s="6">
        <f ca="1">('TUSD BE'!$AM$48+'TUSD BF'!$AM$48+'TUSD CVA'!$AM$48)*1</f>
        <v>311.36800256146012</v>
      </c>
      <c r="AA183" s="6">
        <f>('TE BE'!$AB$38+'TE BF'!$AB$38+'TE CVA'!$AB$38)*1</f>
        <v>221.79210547670309</v>
      </c>
      <c r="AB183" s="6">
        <f>$K$183*$V$183</f>
        <v>0</v>
      </c>
      <c r="AC183" s="6">
        <f>$M$183*$W$183</f>
        <v>378.95519999999999</v>
      </c>
      <c r="AD183" s="6">
        <f>$O$183*$X$183</f>
        <v>387.50400000000002</v>
      </c>
      <c r="AE183" s="6">
        <f>$K$183*$Y$183</f>
        <v>0</v>
      </c>
      <c r="AF183" s="6">
        <f ca="1">$M$183*$Z$183</f>
        <v>388.58726719670221</v>
      </c>
      <c r="AG183" s="6">
        <f>$O$183*$AA$183</f>
        <v>276.79654763492545</v>
      </c>
    </row>
    <row r="184" spans="1:33" ht="11.25" customHeight="1" x14ac:dyDescent="0.3">
      <c r="A184" s="4" t="s">
        <v>21</v>
      </c>
      <c r="B184" s="4" t="s">
        <v>31</v>
      </c>
      <c r="C184" s="4" t="s">
        <v>23</v>
      </c>
      <c r="D184" s="4" t="s">
        <v>32</v>
      </c>
      <c r="E184" s="4" t="s">
        <v>25</v>
      </c>
      <c r="F184" s="4" t="s">
        <v>25</v>
      </c>
      <c r="G184" s="4" t="s">
        <v>25</v>
      </c>
      <c r="H184" s="4" t="s">
        <v>25</v>
      </c>
      <c r="I184" s="5">
        <v>44621</v>
      </c>
      <c r="J184" s="6">
        <v>0</v>
      </c>
      <c r="K184" s="6">
        <v>0</v>
      </c>
      <c r="L184" s="6">
        <v>1.302</v>
      </c>
      <c r="M184" s="6">
        <v>1.302</v>
      </c>
      <c r="N184" s="6">
        <v>1.302</v>
      </c>
      <c r="O184" s="6">
        <v>1.302</v>
      </c>
      <c r="P184" s="6">
        <v>2</v>
      </c>
      <c r="Q184" s="4" t="s">
        <v>26</v>
      </c>
      <c r="R184" s="4">
        <v>0</v>
      </c>
      <c r="S184" s="6">
        <v>0</v>
      </c>
      <c r="T184" s="6">
        <v>32</v>
      </c>
      <c r="U184" s="6">
        <v>55</v>
      </c>
      <c r="V184" s="6">
        <f>IF(ISERROR(VLOOKUP($S$184,'TAR FIN'!$A$1:$O$85,15,0)),0,VLOOKUP($S$184,'TAR FIN'!$A$1:$O$85,15,0))</f>
        <v>0</v>
      </c>
      <c r="W184" s="6">
        <f>IF(ISERROR(VLOOKUP($T$184,'TAR FIN'!$A$1:$O$85,15,0)),0,VLOOKUP($T$184,'TAR FIN'!$A$1:$O$85,15,0))</f>
        <v>303.64999999999998</v>
      </c>
      <c r="X184" s="6">
        <f>IF(ISERROR(VLOOKUP($U$184,'TAR FIN'!$A$1:$O$85,15,0)),0,VLOOKUP($U$184,'TAR FIN'!$A$1:$O$85,15,0))</f>
        <v>310.5</v>
      </c>
      <c r="Y184" s="6"/>
      <c r="Z184" s="6">
        <f ca="1">('TUSD BE'!$AM$48+'TUSD BF'!$AM$48+'TUSD CVA'!$AM$48)*1</f>
        <v>311.36800256146012</v>
      </c>
      <c r="AA184" s="6">
        <f>('TE BE'!$AB$38+'TE BF'!$AB$38+'TE CVA'!$AB$38)*1</f>
        <v>221.79210547670309</v>
      </c>
      <c r="AB184" s="6">
        <f>$K$184*$V$184</f>
        <v>0</v>
      </c>
      <c r="AC184" s="6">
        <f>$M$184*$W$184</f>
        <v>395.35229999999996</v>
      </c>
      <c r="AD184" s="6">
        <f>$O$184*$X$184</f>
        <v>404.27100000000002</v>
      </c>
      <c r="AE184" s="6">
        <f>$K$184*$Y$184</f>
        <v>0</v>
      </c>
      <c r="AF184" s="6">
        <f ca="1">$M$184*$Z$184</f>
        <v>405.40113933502107</v>
      </c>
      <c r="AG184" s="6">
        <f>$O$184*$AA$184</f>
        <v>288.77332133066744</v>
      </c>
    </row>
    <row r="185" spans="1:33" ht="11.25" customHeight="1" x14ac:dyDescent="0.3">
      <c r="A185" s="4" t="s">
        <v>21</v>
      </c>
      <c r="B185" s="4" t="s">
        <v>31</v>
      </c>
      <c r="C185" s="4" t="s">
        <v>23</v>
      </c>
      <c r="D185" s="4" t="s">
        <v>32</v>
      </c>
      <c r="E185" s="4" t="s">
        <v>25</v>
      </c>
      <c r="F185" s="4" t="s">
        <v>25</v>
      </c>
      <c r="G185" s="4" t="s">
        <v>25</v>
      </c>
      <c r="H185" s="4" t="s">
        <v>25</v>
      </c>
      <c r="I185" s="5">
        <v>44652</v>
      </c>
      <c r="J185" s="6">
        <v>0</v>
      </c>
      <c r="K185" s="6">
        <v>0</v>
      </c>
      <c r="L185" s="6">
        <v>1.607</v>
      </c>
      <c r="M185" s="6">
        <v>1.607</v>
      </c>
      <c r="N185" s="6">
        <v>1.607</v>
      </c>
      <c r="O185" s="6">
        <v>1.607</v>
      </c>
      <c r="P185" s="6">
        <v>2</v>
      </c>
      <c r="Q185" s="4" t="s">
        <v>26</v>
      </c>
      <c r="R185" s="4">
        <v>0</v>
      </c>
      <c r="S185" s="6">
        <v>0</v>
      </c>
      <c r="T185" s="6">
        <v>32</v>
      </c>
      <c r="U185" s="6">
        <v>55</v>
      </c>
      <c r="V185" s="6">
        <f>IF(ISERROR(VLOOKUP($S$185,'TAR FIN'!$A$1:$O$85,15,0)),0,VLOOKUP($S$185,'TAR FIN'!$A$1:$O$85,15,0))</f>
        <v>0</v>
      </c>
      <c r="W185" s="6">
        <f>IF(ISERROR(VLOOKUP($T$185,'TAR FIN'!$A$1:$O$85,15,0)),0,VLOOKUP($T$185,'TAR FIN'!$A$1:$O$85,15,0))</f>
        <v>303.64999999999998</v>
      </c>
      <c r="X185" s="6">
        <f>IF(ISERROR(VLOOKUP($U$185,'TAR FIN'!$A$1:$O$85,15,0)),0,VLOOKUP($U$185,'TAR FIN'!$A$1:$O$85,15,0))</f>
        <v>310.5</v>
      </c>
      <c r="Y185" s="6"/>
      <c r="Z185" s="6">
        <f ca="1">('TUSD BE'!$AM$48+'TUSD BF'!$AM$48+'TUSD CVA'!$AM$48)*1</f>
        <v>311.36800256146012</v>
      </c>
      <c r="AA185" s="6">
        <f>('TE BE'!$AB$38+'TE BF'!$AB$38+'TE CVA'!$AB$38)*1</f>
        <v>221.79210547670309</v>
      </c>
      <c r="AB185" s="6">
        <f>$K$185*$V$185</f>
        <v>0</v>
      </c>
      <c r="AC185" s="6">
        <f>$M$185*$W$185</f>
        <v>487.96554999999995</v>
      </c>
      <c r="AD185" s="6">
        <f>$O$185*$X$185</f>
        <v>498.9735</v>
      </c>
      <c r="AE185" s="6">
        <f>$K$185*$Y$185</f>
        <v>0</v>
      </c>
      <c r="AF185" s="6">
        <f ca="1">$M$185*$Z$185</f>
        <v>500.36838011626639</v>
      </c>
      <c r="AG185" s="6">
        <f>$O$185*$AA$185</f>
        <v>356.41991350106184</v>
      </c>
    </row>
    <row r="186" spans="1:33" ht="11.25" customHeight="1" x14ac:dyDescent="0.3">
      <c r="A186" s="4" t="s">
        <v>21</v>
      </c>
      <c r="B186" s="4" t="s">
        <v>31</v>
      </c>
      <c r="C186" s="4" t="s">
        <v>23</v>
      </c>
      <c r="D186" s="4" t="s">
        <v>32</v>
      </c>
      <c r="E186" s="4" t="s">
        <v>25</v>
      </c>
      <c r="F186" s="4" t="s">
        <v>25</v>
      </c>
      <c r="G186" s="4" t="s">
        <v>25</v>
      </c>
      <c r="H186" s="4" t="s">
        <v>25</v>
      </c>
      <c r="I186" s="5">
        <v>44682</v>
      </c>
      <c r="J186" s="6">
        <v>0</v>
      </c>
      <c r="K186" s="6">
        <v>0</v>
      </c>
      <c r="L186" s="6">
        <v>2.5099999999999998</v>
      </c>
      <c r="M186" s="6">
        <v>2.5099999999999998</v>
      </c>
      <c r="N186" s="6">
        <v>2.5099999999999998</v>
      </c>
      <c r="O186" s="6">
        <v>2.5099999999999998</v>
      </c>
      <c r="P186" s="6">
        <v>2</v>
      </c>
      <c r="Q186" s="4" t="s">
        <v>26</v>
      </c>
      <c r="R186" s="4">
        <v>0</v>
      </c>
      <c r="S186" s="6">
        <v>0</v>
      </c>
      <c r="T186" s="6">
        <v>32</v>
      </c>
      <c r="U186" s="6">
        <v>55</v>
      </c>
      <c r="V186" s="6">
        <f>IF(ISERROR(VLOOKUP($S$186,'TAR FIN'!$A$1:$O$85,15,0)),0,VLOOKUP($S$186,'TAR FIN'!$A$1:$O$85,15,0))</f>
        <v>0</v>
      </c>
      <c r="W186" s="6">
        <f>IF(ISERROR(VLOOKUP($T$186,'TAR FIN'!$A$1:$O$85,15,0)),0,VLOOKUP($T$186,'TAR FIN'!$A$1:$O$85,15,0))</f>
        <v>303.64999999999998</v>
      </c>
      <c r="X186" s="6">
        <f>IF(ISERROR(VLOOKUP($U$186,'TAR FIN'!$A$1:$O$85,15,0)),0,VLOOKUP($U$186,'TAR FIN'!$A$1:$O$85,15,0))</f>
        <v>310.5</v>
      </c>
      <c r="Y186" s="6"/>
      <c r="Z186" s="6">
        <f ca="1">('TUSD BE'!$AM$48+'TUSD BF'!$AM$48+'TUSD CVA'!$AM$48)*1</f>
        <v>311.36800256146012</v>
      </c>
      <c r="AA186" s="6">
        <f>('TE BE'!$AB$38+'TE BF'!$AB$38+'TE CVA'!$AB$38)*1</f>
        <v>221.79210547670309</v>
      </c>
      <c r="AB186" s="6">
        <f>$K$186*$V$186</f>
        <v>0</v>
      </c>
      <c r="AC186" s="6">
        <f>$M$186*$W$186</f>
        <v>762.16149999999993</v>
      </c>
      <c r="AD186" s="6">
        <f>$O$186*$X$186</f>
        <v>779.3549999999999</v>
      </c>
      <c r="AE186" s="6">
        <f>$K$186*$Y$186</f>
        <v>0</v>
      </c>
      <c r="AF186" s="6">
        <f ca="1">$M$186*$Z$186</f>
        <v>781.53368642926478</v>
      </c>
      <c r="AG186" s="6">
        <f>$O$186*$AA$186</f>
        <v>556.6981847465247</v>
      </c>
    </row>
    <row r="187" spans="1:33" ht="11.25" customHeight="1" x14ac:dyDescent="0.3">
      <c r="A187" s="4" t="s">
        <v>21</v>
      </c>
      <c r="B187" s="4" t="s">
        <v>31</v>
      </c>
      <c r="C187" s="4" t="s">
        <v>23</v>
      </c>
      <c r="D187" s="4" t="s">
        <v>32</v>
      </c>
      <c r="E187" s="4" t="s">
        <v>25</v>
      </c>
      <c r="F187" s="4" t="s">
        <v>25</v>
      </c>
      <c r="G187" s="4" t="s">
        <v>25</v>
      </c>
      <c r="H187" s="4" t="s">
        <v>25</v>
      </c>
      <c r="I187" s="5">
        <v>44713</v>
      </c>
      <c r="J187" s="6">
        <v>0</v>
      </c>
      <c r="K187" s="6">
        <v>0</v>
      </c>
      <c r="L187" s="6">
        <v>2.944</v>
      </c>
      <c r="M187" s="6">
        <v>2.944</v>
      </c>
      <c r="N187" s="6">
        <v>2.944</v>
      </c>
      <c r="O187" s="6">
        <v>2.944</v>
      </c>
      <c r="P187" s="6">
        <v>2</v>
      </c>
      <c r="Q187" s="4" t="s">
        <v>26</v>
      </c>
      <c r="R187" s="4">
        <v>0</v>
      </c>
      <c r="S187" s="6">
        <v>0</v>
      </c>
      <c r="T187" s="6">
        <v>32</v>
      </c>
      <c r="U187" s="6">
        <v>55</v>
      </c>
      <c r="V187" s="6">
        <f>IF(ISERROR(VLOOKUP($S$187,'TAR FIN'!$A$1:$O$85,15,0)),0,VLOOKUP($S$187,'TAR FIN'!$A$1:$O$85,15,0))</f>
        <v>0</v>
      </c>
      <c r="W187" s="6">
        <f>IF(ISERROR(VLOOKUP($T$187,'TAR FIN'!$A$1:$O$85,15,0)),0,VLOOKUP($T$187,'TAR FIN'!$A$1:$O$85,15,0))</f>
        <v>303.64999999999998</v>
      </c>
      <c r="X187" s="6">
        <f>IF(ISERROR(VLOOKUP($U$187,'TAR FIN'!$A$1:$O$85,15,0)),0,VLOOKUP($U$187,'TAR FIN'!$A$1:$O$85,15,0))</f>
        <v>310.5</v>
      </c>
      <c r="Y187" s="6"/>
      <c r="Z187" s="6">
        <f ca="1">('TUSD BE'!$AM$48+'TUSD BF'!$AM$48+'TUSD CVA'!$AM$48)*1</f>
        <v>311.36800256146012</v>
      </c>
      <c r="AA187" s="6">
        <f>('TE BE'!$AB$38+'TE BF'!$AB$38+'TE CVA'!$AB$38)*1</f>
        <v>221.79210547670309</v>
      </c>
      <c r="AB187" s="6">
        <f>$K$187*$V$187</f>
        <v>0</v>
      </c>
      <c r="AC187" s="6">
        <f>$M$187*$W$187</f>
        <v>893.9455999999999</v>
      </c>
      <c r="AD187" s="6">
        <f>$O$187*$X$187</f>
        <v>914.11199999999997</v>
      </c>
      <c r="AE187" s="6">
        <f>$K$187*$Y$187</f>
        <v>0</v>
      </c>
      <c r="AF187" s="6">
        <f ca="1">$M$187*$Z$187</f>
        <v>916.66739954093862</v>
      </c>
      <c r="AG187" s="6">
        <f>$O$187*$AA$187</f>
        <v>652.95595852341387</v>
      </c>
    </row>
    <row r="188" spans="1:33" ht="11.25" customHeight="1" x14ac:dyDescent="0.3">
      <c r="A188" s="4" t="s">
        <v>21</v>
      </c>
      <c r="B188" s="4" t="s">
        <v>31</v>
      </c>
      <c r="C188" s="4" t="s">
        <v>23</v>
      </c>
      <c r="D188" s="4" t="s">
        <v>32</v>
      </c>
      <c r="E188" s="4" t="s">
        <v>25</v>
      </c>
      <c r="F188" s="4" t="s">
        <v>25</v>
      </c>
      <c r="G188" s="4" t="s">
        <v>25</v>
      </c>
      <c r="H188" s="4" t="s">
        <v>25</v>
      </c>
      <c r="I188" s="5">
        <v>44743</v>
      </c>
      <c r="J188" s="6">
        <v>0</v>
      </c>
      <c r="K188" s="6">
        <v>0</v>
      </c>
      <c r="L188" s="6">
        <v>1.5209999999999999</v>
      </c>
      <c r="M188" s="6">
        <v>1.5209999999999999</v>
      </c>
      <c r="N188" s="6">
        <v>1.5209999999999999</v>
      </c>
      <c r="O188" s="6">
        <v>1.5209999999999999</v>
      </c>
      <c r="P188" s="6">
        <v>2</v>
      </c>
      <c r="Q188" s="4" t="s">
        <v>26</v>
      </c>
      <c r="R188" s="4">
        <v>0</v>
      </c>
      <c r="S188" s="6">
        <v>0</v>
      </c>
      <c r="T188" s="6">
        <v>32</v>
      </c>
      <c r="U188" s="6">
        <v>55</v>
      </c>
      <c r="V188" s="6">
        <f>IF(ISERROR(VLOOKUP($S$188,'TAR FIN'!$A$1:$O$85,15,0)),0,VLOOKUP($S$188,'TAR FIN'!$A$1:$O$85,15,0))</f>
        <v>0</v>
      </c>
      <c r="W188" s="6">
        <f>IF(ISERROR(VLOOKUP($T$188,'TAR FIN'!$A$1:$O$85,15,0)),0,VLOOKUP($T$188,'TAR FIN'!$A$1:$O$85,15,0))</f>
        <v>303.64999999999998</v>
      </c>
      <c r="X188" s="6">
        <f>IF(ISERROR(VLOOKUP($U$188,'TAR FIN'!$A$1:$O$85,15,0)),0,VLOOKUP($U$188,'TAR FIN'!$A$1:$O$85,15,0))</f>
        <v>310.5</v>
      </c>
      <c r="Y188" s="6"/>
      <c r="Z188" s="6">
        <f ca="1">('TUSD BE'!$AM$48+'TUSD BF'!$AM$48+'TUSD CVA'!$AM$48)*1</f>
        <v>311.36800256146012</v>
      </c>
      <c r="AA188" s="6">
        <f>('TE BE'!$AB$38+'TE BF'!$AB$38+'TE CVA'!$AB$38)*1</f>
        <v>221.79210547670309</v>
      </c>
      <c r="AB188" s="6">
        <f>$K$188*$V$188</f>
        <v>0</v>
      </c>
      <c r="AC188" s="6">
        <f>$M$188*$W$188</f>
        <v>461.85164999999995</v>
      </c>
      <c r="AD188" s="6">
        <f>$O$188*$X$188</f>
        <v>472.27049999999997</v>
      </c>
      <c r="AE188" s="6">
        <f>$K$188*$Y$188</f>
        <v>0</v>
      </c>
      <c r="AF188" s="6">
        <f ca="1">$M$188*$Z$188</f>
        <v>473.59073189598081</v>
      </c>
      <c r="AG188" s="6">
        <f>$O$188*$AA$188</f>
        <v>337.34579243006539</v>
      </c>
    </row>
    <row r="189" spans="1:33" ht="11.25" customHeight="1" x14ac:dyDescent="0.3">
      <c r="A189" s="4" t="s">
        <v>21</v>
      </c>
      <c r="B189" s="4" t="s">
        <v>31</v>
      </c>
      <c r="C189" s="4" t="s">
        <v>23</v>
      </c>
      <c r="D189" s="4" t="s">
        <v>32</v>
      </c>
      <c r="E189" s="4" t="s">
        <v>25</v>
      </c>
      <c r="F189" s="4" t="s">
        <v>25</v>
      </c>
      <c r="G189" s="4" t="s">
        <v>25</v>
      </c>
      <c r="H189" s="4" t="s">
        <v>25</v>
      </c>
      <c r="I189" s="5">
        <v>44774</v>
      </c>
      <c r="J189" s="6">
        <v>0</v>
      </c>
      <c r="K189" s="6">
        <v>0</v>
      </c>
      <c r="L189" s="6">
        <v>0.22600000000000001</v>
      </c>
      <c r="M189" s="6">
        <v>0.22600000000000001</v>
      </c>
      <c r="N189" s="6">
        <v>0.22600000000000001</v>
      </c>
      <c r="O189" s="6">
        <v>0.22600000000000001</v>
      </c>
      <c r="P189" s="6">
        <v>2</v>
      </c>
      <c r="Q189" s="4" t="s">
        <v>26</v>
      </c>
      <c r="R189" s="4">
        <v>0</v>
      </c>
      <c r="S189" s="6">
        <v>0</v>
      </c>
      <c r="T189" s="6">
        <v>32</v>
      </c>
      <c r="U189" s="6">
        <v>55</v>
      </c>
      <c r="V189" s="6">
        <f>IF(ISERROR(VLOOKUP($S$189,'TAR FIN'!$A$1:$O$85,15,0)),0,VLOOKUP($S$189,'TAR FIN'!$A$1:$O$85,15,0))</f>
        <v>0</v>
      </c>
      <c r="W189" s="6">
        <f>IF(ISERROR(VLOOKUP($T$189,'TAR FIN'!$A$1:$O$85,15,0)),0,VLOOKUP($T$189,'TAR FIN'!$A$1:$O$85,15,0))</f>
        <v>303.64999999999998</v>
      </c>
      <c r="X189" s="6">
        <f>IF(ISERROR(VLOOKUP($U$189,'TAR FIN'!$A$1:$O$85,15,0)),0,VLOOKUP($U$189,'TAR FIN'!$A$1:$O$85,15,0))</f>
        <v>310.5</v>
      </c>
      <c r="Y189" s="6"/>
      <c r="Z189" s="6">
        <f ca="1">('TUSD BE'!$AM$48+'TUSD BF'!$AM$48+'TUSD CVA'!$AM$48)*1</f>
        <v>311.36800256146012</v>
      </c>
      <c r="AA189" s="6">
        <f>('TE BE'!$AB$38+'TE BF'!$AB$38+'TE CVA'!$AB$38)*1</f>
        <v>221.79210547670309</v>
      </c>
      <c r="AB189" s="6">
        <f>$K$189*$V$189</f>
        <v>0</v>
      </c>
      <c r="AC189" s="6">
        <f>$M$189*$W$189</f>
        <v>68.624899999999997</v>
      </c>
      <c r="AD189" s="6">
        <f>$O$189*$X$189</f>
        <v>70.173000000000002</v>
      </c>
      <c r="AE189" s="6">
        <f>$K$189*$Y$189</f>
        <v>0</v>
      </c>
      <c r="AF189" s="6">
        <f ca="1">$M$189*$Z$189</f>
        <v>70.369168578889983</v>
      </c>
      <c r="AG189" s="6">
        <f>$O$189*$AA$189</f>
        <v>50.1250158377349</v>
      </c>
    </row>
    <row r="190" spans="1:33" ht="11.25" customHeight="1" x14ac:dyDescent="0.3">
      <c r="A190" s="4" t="s">
        <v>21</v>
      </c>
      <c r="B190" s="4" t="s">
        <v>31</v>
      </c>
      <c r="C190" s="4" t="s">
        <v>23</v>
      </c>
      <c r="D190" s="4" t="s">
        <v>42</v>
      </c>
      <c r="E190" s="4" t="s">
        <v>25</v>
      </c>
      <c r="F190" s="4" t="s">
        <v>25</v>
      </c>
      <c r="G190" s="4" t="s">
        <v>25</v>
      </c>
      <c r="H190" s="4" t="s">
        <v>25</v>
      </c>
      <c r="I190" s="5">
        <v>44440</v>
      </c>
      <c r="J190" s="6">
        <v>0</v>
      </c>
      <c r="K190" s="6">
        <v>0</v>
      </c>
      <c r="L190" s="6">
        <v>0.82399999999999995</v>
      </c>
      <c r="M190" s="6">
        <v>0.82399999999999995</v>
      </c>
      <c r="N190" s="6">
        <v>0.82399999999999995</v>
      </c>
      <c r="O190" s="6">
        <v>0.82399999999999995</v>
      </c>
      <c r="P190" s="6">
        <v>17</v>
      </c>
      <c r="Q190" s="4" t="s">
        <v>26</v>
      </c>
      <c r="R190" s="4">
        <v>0</v>
      </c>
      <c r="S190" s="6">
        <v>0</v>
      </c>
      <c r="T190" s="6">
        <v>32</v>
      </c>
      <c r="U190" s="6">
        <v>55</v>
      </c>
      <c r="V190" s="6">
        <f>IF(ISERROR(VLOOKUP($S$190,'TAR FIN'!$A$1:$O$85,15,0)),0,VLOOKUP($S$190,'TAR FIN'!$A$1:$O$85,15,0))</f>
        <v>0</v>
      </c>
      <c r="W190" s="6">
        <f>IF(ISERROR(VLOOKUP($T$190,'TAR FIN'!$A$1:$O$85,15,0)),0,VLOOKUP($T$190,'TAR FIN'!$A$1:$O$85,15,0))</f>
        <v>303.64999999999998</v>
      </c>
      <c r="X190" s="6">
        <f>IF(ISERROR(VLOOKUP($U$190,'TAR FIN'!$A$1:$O$85,15,0)),0,VLOOKUP($U$190,'TAR FIN'!$A$1:$O$85,15,0))</f>
        <v>310.5</v>
      </c>
      <c r="Y190" s="6"/>
      <c r="Z190" s="6">
        <f ca="1">('TUSD BE'!$AM$48+'TUSD BF'!$AM$48+'TUSD CVA'!$AM$48)*1</f>
        <v>311.36800256146012</v>
      </c>
      <c r="AA190" s="6">
        <f>('TE BE'!$AB$38+'TE BF'!$AB$38+'TE CVA'!$AB$38)*1</f>
        <v>221.79210547670309</v>
      </c>
      <c r="AB190" s="6">
        <f>$K$190*$V$190</f>
        <v>0</v>
      </c>
      <c r="AC190" s="6">
        <f>$M$190*$W$190</f>
        <v>250.20759999999996</v>
      </c>
      <c r="AD190" s="6">
        <f>$O$190*$X$190</f>
        <v>255.85199999999998</v>
      </c>
      <c r="AE190" s="6">
        <f>$K$190*$Y$190</f>
        <v>0</v>
      </c>
      <c r="AF190" s="6">
        <f ca="1">$M$190*$Z$190</f>
        <v>256.56723411064314</v>
      </c>
      <c r="AG190" s="6">
        <f>$O$190*$AA$190</f>
        <v>182.75669491280334</v>
      </c>
    </row>
    <row r="191" spans="1:33" ht="11.25" customHeight="1" x14ac:dyDescent="0.3">
      <c r="A191" s="4" t="s">
        <v>21</v>
      </c>
      <c r="B191" s="4" t="s">
        <v>31</v>
      </c>
      <c r="C191" s="4" t="s">
        <v>23</v>
      </c>
      <c r="D191" s="4" t="s">
        <v>42</v>
      </c>
      <c r="E191" s="4" t="s">
        <v>25</v>
      </c>
      <c r="F191" s="4" t="s">
        <v>25</v>
      </c>
      <c r="G191" s="4" t="s">
        <v>25</v>
      </c>
      <c r="H191" s="4" t="s">
        <v>25</v>
      </c>
      <c r="I191" s="5">
        <v>44470</v>
      </c>
      <c r="J191" s="6">
        <v>0</v>
      </c>
      <c r="K191" s="6">
        <v>0</v>
      </c>
      <c r="L191" s="6">
        <v>0.81100000000000005</v>
      </c>
      <c r="M191" s="6">
        <v>0.81100000000000005</v>
      </c>
      <c r="N191" s="6">
        <v>0.81100000000000005</v>
      </c>
      <c r="O191" s="6">
        <v>0.81100000000000005</v>
      </c>
      <c r="P191" s="6">
        <v>17</v>
      </c>
      <c r="Q191" s="4" t="s">
        <v>26</v>
      </c>
      <c r="R191" s="4">
        <v>0</v>
      </c>
      <c r="S191" s="6">
        <v>0</v>
      </c>
      <c r="T191" s="6">
        <v>32</v>
      </c>
      <c r="U191" s="6">
        <v>55</v>
      </c>
      <c r="V191" s="6">
        <f>IF(ISERROR(VLOOKUP($S$191,'TAR FIN'!$A$1:$O$85,15,0)),0,VLOOKUP($S$191,'TAR FIN'!$A$1:$O$85,15,0))</f>
        <v>0</v>
      </c>
      <c r="W191" s="6">
        <f>IF(ISERROR(VLOOKUP($T$191,'TAR FIN'!$A$1:$O$85,15,0)),0,VLOOKUP($T$191,'TAR FIN'!$A$1:$O$85,15,0))</f>
        <v>303.64999999999998</v>
      </c>
      <c r="X191" s="6">
        <f>IF(ISERROR(VLOOKUP($U$191,'TAR FIN'!$A$1:$O$85,15,0)),0,VLOOKUP($U$191,'TAR FIN'!$A$1:$O$85,15,0))</f>
        <v>310.5</v>
      </c>
      <c r="Y191" s="6"/>
      <c r="Z191" s="6">
        <f ca="1">('TUSD BE'!$AM$48+'TUSD BF'!$AM$48+'TUSD CVA'!$AM$48)*1</f>
        <v>311.36800256146012</v>
      </c>
      <c r="AA191" s="6">
        <f>('TE BE'!$AB$38+'TE BF'!$AB$38+'TE CVA'!$AB$38)*1</f>
        <v>221.79210547670309</v>
      </c>
      <c r="AB191" s="6">
        <f>$K$191*$V$191</f>
        <v>0</v>
      </c>
      <c r="AC191" s="6">
        <f>$M$191*$W$191</f>
        <v>246.26015000000001</v>
      </c>
      <c r="AD191" s="6">
        <f>$O$191*$X$191</f>
        <v>251.81550000000001</v>
      </c>
      <c r="AE191" s="6">
        <f>$K$191*$Y$191</f>
        <v>0</v>
      </c>
      <c r="AF191" s="6">
        <f ca="1">$M$191*$Z$191</f>
        <v>252.51945007734417</v>
      </c>
      <c r="AG191" s="6">
        <f>$O$191*$AA$191</f>
        <v>179.87339754160621</v>
      </c>
    </row>
    <row r="192" spans="1:33" ht="11.25" customHeight="1" x14ac:dyDescent="0.3">
      <c r="A192" s="4" t="s">
        <v>21</v>
      </c>
      <c r="B192" s="4" t="s">
        <v>31</v>
      </c>
      <c r="C192" s="4" t="s">
        <v>23</v>
      </c>
      <c r="D192" s="4" t="s">
        <v>42</v>
      </c>
      <c r="E192" s="4" t="s">
        <v>25</v>
      </c>
      <c r="F192" s="4" t="s">
        <v>25</v>
      </c>
      <c r="G192" s="4" t="s">
        <v>25</v>
      </c>
      <c r="H192" s="4" t="s">
        <v>25</v>
      </c>
      <c r="I192" s="5">
        <v>44501</v>
      </c>
      <c r="J192" s="6">
        <v>0</v>
      </c>
      <c r="K192" s="6">
        <v>0</v>
      </c>
      <c r="L192" s="6">
        <v>0.88600000000000001</v>
      </c>
      <c r="M192" s="6">
        <v>0.88600000000000001</v>
      </c>
      <c r="N192" s="6">
        <v>0.88600000000000001</v>
      </c>
      <c r="O192" s="6">
        <v>0.88600000000000001</v>
      </c>
      <c r="P192" s="6">
        <v>17</v>
      </c>
      <c r="Q192" s="4" t="s">
        <v>26</v>
      </c>
      <c r="R192" s="4">
        <v>0</v>
      </c>
      <c r="S192" s="6">
        <v>0</v>
      </c>
      <c r="T192" s="6">
        <v>32</v>
      </c>
      <c r="U192" s="6">
        <v>55</v>
      </c>
      <c r="V192" s="6">
        <f>IF(ISERROR(VLOOKUP($S$192,'TAR FIN'!$A$1:$O$85,15,0)),0,VLOOKUP($S$192,'TAR FIN'!$A$1:$O$85,15,0))</f>
        <v>0</v>
      </c>
      <c r="W192" s="6">
        <f>IF(ISERROR(VLOOKUP($T$192,'TAR FIN'!$A$1:$O$85,15,0)),0,VLOOKUP($T$192,'TAR FIN'!$A$1:$O$85,15,0))</f>
        <v>303.64999999999998</v>
      </c>
      <c r="X192" s="6">
        <f>IF(ISERROR(VLOOKUP($U$192,'TAR FIN'!$A$1:$O$85,15,0)),0,VLOOKUP($U$192,'TAR FIN'!$A$1:$O$85,15,0))</f>
        <v>310.5</v>
      </c>
      <c r="Y192" s="6"/>
      <c r="Z192" s="6">
        <f ca="1">('TUSD BE'!$AM$48+'TUSD BF'!$AM$48+'TUSD CVA'!$AM$48)*1</f>
        <v>311.36800256146012</v>
      </c>
      <c r="AA192" s="6">
        <f>('TE BE'!$AB$38+'TE BF'!$AB$38+'TE CVA'!$AB$38)*1</f>
        <v>221.79210547670309</v>
      </c>
      <c r="AB192" s="6">
        <f>$K$192*$V$192</f>
        <v>0</v>
      </c>
      <c r="AC192" s="6">
        <f>$M$192*$W$192</f>
        <v>269.03389999999996</v>
      </c>
      <c r="AD192" s="6">
        <f>$O$192*$X$192</f>
        <v>275.10300000000001</v>
      </c>
      <c r="AE192" s="6">
        <f>$K$192*$Y$192</f>
        <v>0</v>
      </c>
      <c r="AF192" s="6">
        <f ca="1">$M$192*$Z$192</f>
        <v>275.87205026945367</v>
      </c>
      <c r="AG192" s="6">
        <f>$O$192*$AA$192</f>
        <v>196.50780545235892</v>
      </c>
    </row>
    <row r="193" spans="1:33" ht="11.25" customHeight="1" x14ac:dyDescent="0.3">
      <c r="A193" s="4" t="s">
        <v>21</v>
      </c>
      <c r="B193" s="4" t="s">
        <v>31</v>
      </c>
      <c r="C193" s="4" t="s">
        <v>23</v>
      </c>
      <c r="D193" s="4" t="s">
        <v>42</v>
      </c>
      <c r="E193" s="4" t="s">
        <v>25</v>
      </c>
      <c r="F193" s="4" t="s">
        <v>25</v>
      </c>
      <c r="G193" s="4" t="s">
        <v>25</v>
      </c>
      <c r="H193" s="4" t="s">
        <v>25</v>
      </c>
      <c r="I193" s="5">
        <v>44531</v>
      </c>
      <c r="J193" s="6">
        <v>0</v>
      </c>
      <c r="K193" s="6">
        <v>0</v>
      </c>
      <c r="L193" s="6">
        <v>0.85299999999999998</v>
      </c>
      <c r="M193" s="6">
        <v>0.85299999999999998</v>
      </c>
      <c r="N193" s="6">
        <v>0.85299999999999998</v>
      </c>
      <c r="O193" s="6">
        <v>0.85299999999999998</v>
      </c>
      <c r="P193" s="6">
        <v>17</v>
      </c>
      <c r="Q193" s="4" t="s">
        <v>26</v>
      </c>
      <c r="R193" s="4">
        <v>0</v>
      </c>
      <c r="S193" s="6">
        <v>0</v>
      </c>
      <c r="T193" s="6">
        <v>32</v>
      </c>
      <c r="U193" s="6">
        <v>55</v>
      </c>
      <c r="V193" s="6">
        <f>IF(ISERROR(VLOOKUP($S$193,'TAR FIN'!$A$1:$O$85,15,0)),0,VLOOKUP($S$193,'TAR FIN'!$A$1:$O$85,15,0))</f>
        <v>0</v>
      </c>
      <c r="W193" s="6">
        <f>IF(ISERROR(VLOOKUP($T$193,'TAR FIN'!$A$1:$O$85,15,0)),0,VLOOKUP($T$193,'TAR FIN'!$A$1:$O$85,15,0))</f>
        <v>303.64999999999998</v>
      </c>
      <c r="X193" s="6">
        <f>IF(ISERROR(VLOOKUP($U$193,'TAR FIN'!$A$1:$O$85,15,0)),0,VLOOKUP($U$193,'TAR FIN'!$A$1:$O$85,15,0))</f>
        <v>310.5</v>
      </c>
      <c r="Y193" s="6"/>
      <c r="Z193" s="6">
        <f ca="1">('TUSD BE'!$AM$48+'TUSD BF'!$AM$48+'TUSD CVA'!$AM$48)*1</f>
        <v>311.36800256146012</v>
      </c>
      <c r="AA193" s="6">
        <f>('TE BE'!$AB$38+'TE BF'!$AB$38+'TE CVA'!$AB$38)*1</f>
        <v>221.79210547670309</v>
      </c>
      <c r="AB193" s="6">
        <f>$K$193*$V$193</f>
        <v>0</v>
      </c>
      <c r="AC193" s="6">
        <f>$M$193*$W$193</f>
        <v>259.01344999999998</v>
      </c>
      <c r="AD193" s="6">
        <f>$O$193*$X$193</f>
        <v>264.85649999999998</v>
      </c>
      <c r="AE193" s="6">
        <f>$K$193*$Y$193</f>
        <v>0</v>
      </c>
      <c r="AF193" s="6">
        <f ca="1">$M$193*$Z$193</f>
        <v>265.5969061849255</v>
      </c>
      <c r="AG193" s="6">
        <f>$O$193*$AA$193</f>
        <v>189.18866597162773</v>
      </c>
    </row>
    <row r="194" spans="1:33" ht="11.25" customHeight="1" x14ac:dyDescent="0.3">
      <c r="A194" s="4" t="s">
        <v>21</v>
      </c>
      <c r="B194" s="4" t="s">
        <v>31</v>
      </c>
      <c r="C194" s="4" t="s">
        <v>23</v>
      </c>
      <c r="D194" s="4" t="s">
        <v>42</v>
      </c>
      <c r="E194" s="4" t="s">
        <v>25</v>
      </c>
      <c r="F194" s="4" t="s">
        <v>25</v>
      </c>
      <c r="G194" s="4" t="s">
        <v>25</v>
      </c>
      <c r="H194" s="4" t="s">
        <v>25</v>
      </c>
      <c r="I194" s="5">
        <v>44562</v>
      </c>
      <c r="J194" s="6">
        <v>0</v>
      </c>
      <c r="K194" s="6">
        <v>0</v>
      </c>
      <c r="L194" s="6">
        <v>0.82899999999999996</v>
      </c>
      <c r="M194" s="6">
        <v>0.82899999999999996</v>
      </c>
      <c r="N194" s="6">
        <v>0.82899999999999996</v>
      </c>
      <c r="O194" s="6">
        <v>0.82899999999999996</v>
      </c>
      <c r="P194" s="6">
        <v>17</v>
      </c>
      <c r="Q194" s="4" t="s">
        <v>26</v>
      </c>
      <c r="R194" s="4">
        <v>0</v>
      </c>
      <c r="S194" s="6">
        <v>0</v>
      </c>
      <c r="T194" s="6">
        <v>32</v>
      </c>
      <c r="U194" s="6">
        <v>55</v>
      </c>
      <c r="V194" s="6">
        <f>IF(ISERROR(VLOOKUP($S$194,'TAR FIN'!$A$1:$O$85,15,0)),0,VLOOKUP($S$194,'TAR FIN'!$A$1:$O$85,15,0))</f>
        <v>0</v>
      </c>
      <c r="W194" s="6">
        <f>IF(ISERROR(VLOOKUP($T$194,'TAR FIN'!$A$1:$O$85,15,0)),0,VLOOKUP($T$194,'TAR FIN'!$A$1:$O$85,15,0))</f>
        <v>303.64999999999998</v>
      </c>
      <c r="X194" s="6">
        <f>IF(ISERROR(VLOOKUP($U$194,'TAR FIN'!$A$1:$O$85,15,0)),0,VLOOKUP($U$194,'TAR FIN'!$A$1:$O$85,15,0))</f>
        <v>310.5</v>
      </c>
      <c r="Y194" s="6"/>
      <c r="Z194" s="6">
        <f ca="1">('TUSD BE'!$AM$48+'TUSD BF'!$AM$48+'TUSD CVA'!$AM$48)*1</f>
        <v>311.36800256146012</v>
      </c>
      <c r="AA194" s="6">
        <f>('TE BE'!$AB$38+'TE BF'!$AB$38+'TE CVA'!$AB$38)*1</f>
        <v>221.79210547670309</v>
      </c>
      <c r="AB194" s="6">
        <f>$K$194*$V$194</f>
        <v>0</v>
      </c>
      <c r="AC194" s="6">
        <f>$M$194*$W$194</f>
        <v>251.72584999999998</v>
      </c>
      <c r="AD194" s="6">
        <f>$O$194*$X$194</f>
        <v>257.40449999999998</v>
      </c>
      <c r="AE194" s="6">
        <f>$K$194*$Y$194</f>
        <v>0</v>
      </c>
      <c r="AF194" s="6">
        <f ca="1">$M$194*$Z$194</f>
        <v>258.12407412345044</v>
      </c>
      <c r="AG194" s="6">
        <f>$O$194*$AA$194</f>
        <v>183.86565544018686</v>
      </c>
    </row>
    <row r="195" spans="1:33" ht="11.25" customHeight="1" x14ac:dyDescent="0.3">
      <c r="A195" s="4" t="s">
        <v>21</v>
      </c>
      <c r="B195" s="4" t="s">
        <v>31</v>
      </c>
      <c r="C195" s="4" t="s">
        <v>23</v>
      </c>
      <c r="D195" s="4" t="s">
        <v>42</v>
      </c>
      <c r="E195" s="4" t="s">
        <v>25</v>
      </c>
      <c r="F195" s="4" t="s">
        <v>25</v>
      </c>
      <c r="G195" s="4" t="s">
        <v>25</v>
      </c>
      <c r="H195" s="4" t="s">
        <v>25</v>
      </c>
      <c r="I195" s="5">
        <v>44593</v>
      </c>
      <c r="J195" s="6">
        <v>0</v>
      </c>
      <c r="K195" s="6">
        <v>0</v>
      </c>
      <c r="L195" s="6">
        <v>0.90100000000000002</v>
      </c>
      <c r="M195" s="6">
        <v>0.90100000000000002</v>
      </c>
      <c r="N195" s="6">
        <v>0.90100000000000002</v>
      </c>
      <c r="O195" s="6">
        <v>0.90100000000000002</v>
      </c>
      <c r="P195" s="6">
        <v>17</v>
      </c>
      <c r="Q195" s="4" t="s">
        <v>26</v>
      </c>
      <c r="R195" s="4">
        <v>0</v>
      </c>
      <c r="S195" s="6">
        <v>0</v>
      </c>
      <c r="T195" s="6">
        <v>32</v>
      </c>
      <c r="U195" s="6">
        <v>55</v>
      </c>
      <c r="V195" s="6">
        <f>IF(ISERROR(VLOOKUP($S$195,'TAR FIN'!$A$1:$O$85,15,0)),0,VLOOKUP($S$195,'TAR FIN'!$A$1:$O$85,15,0))</f>
        <v>0</v>
      </c>
      <c r="W195" s="6">
        <f>IF(ISERROR(VLOOKUP($T$195,'TAR FIN'!$A$1:$O$85,15,0)),0,VLOOKUP($T$195,'TAR FIN'!$A$1:$O$85,15,0))</f>
        <v>303.64999999999998</v>
      </c>
      <c r="X195" s="6">
        <f>IF(ISERROR(VLOOKUP($U$195,'TAR FIN'!$A$1:$O$85,15,0)),0,VLOOKUP($U$195,'TAR FIN'!$A$1:$O$85,15,0))</f>
        <v>310.5</v>
      </c>
      <c r="Y195" s="6"/>
      <c r="Z195" s="6">
        <f ca="1">('TUSD BE'!$AM$48+'TUSD BF'!$AM$48+'TUSD CVA'!$AM$48)*1</f>
        <v>311.36800256146012</v>
      </c>
      <c r="AA195" s="6">
        <f>('TE BE'!$AB$38+'TE BF'!$AB$38+'TE CVA'!$AB$38)*1</f>
        <v>221.79210547670309</v>
      </c>
      <c r="AB195" s="6">
        <f>$K$195*$V$195</f>
        <v>0</v>
      </c>
      <c r="AC195" s="6">
        <f>$M$195*$W$195</f>
        <v>273.58864999999997</v>
      </c>
      <c r="AD195" s="6">
        <f>$O$195*$X$195</f>
        <v>279.76049999999998</v>
      </c>
      <c r="AE195" s="6">
        <f>$K$195*$Y$195</f>
        <v>0</v>
      </c>
      <c r="AF195" s="6">
        <f ca="1">$M$195*$Z$195</f>
        <v>280.54257030787556</v>
      </c>
      <c r="AG195" s="6">
        <f>$O$195*$AA$195</f>
        <v>199.83468703450947</v>
      </c>
    </row>
    <row r="196" spans="1:33" ht="11.25" customHeight="1" x14ac:dyDescent="0.3">
      <c r="A196" s="4" t="s">
        <v>21</v>
      </c>
      <c r="B196" s="4" t="s">
        <v>31</v>
      </c>
      <c r="C196" s="4" t="s">
        <v>23</v>
      </c>
      <c r="D196" s="4" t="s">
        <v>42</v>
      </c>
      <c r="E196" s="4" t="s">
        <v>25</v>
      </c>
      <c r="F196" s="4" t="s">
        <v>25</v>
      </c>
      <c r="G196" s="4" t="s">
        <v>25</v>
      </c>
      <c r="H196" s="4" t="s">
        <v>25</v>
      </c>
      <c r="I196" s="5">
        <v>44621</v>
      </c>
      <c r="J196" s="6">
        <v>0</v>
      </c>
      <c r="K196" s="6">
        <v>0</v>
      </c>
      <c r="L196" s="6">
        <v>0.90500000000000003</v>
      </c>
      <c r="M196" s="6">
        <v>0.90500000000000003</v>
      </c>
      <c r="N196" s="6">
        <v>0.90500000000000003</v>
      </c>
      <c r="O196" s="6">
        <v>0.90500000000000003</v>
      </c>
      <c r="P196" s="6">
        <v>17</v>
      </c>
      <c r="Q196" s="4" t="s">
        <v>26</v>
      </c>
      <c r="R196" s="4">
        <v>0</v>
      </c>
      <c r="S196" s="6">
        <v>0</v>
      </c>
      <c r="T196" s="6">
        <v>32</v>
      </c>
      <c r="U196" s="6">
        <v>55</v>
      </c>
      <c r="V196" s="6">
        <f>IF(ISERROR(VLOOKUP($S$196,'TAR FIN'!$A$1:$O$85,15,0)),0,VLOOKUP($S$196,'TAR FIN'!$A$1:$O$85,15,0))</f>
        <v>0</v>
      </c>
      <c r="W196" s="6">
        <f>IF(ISERROR(VLOOKUP($T$196,'TAR FIN'!$A$1:$O$85,15,0)),0,VLOOKUP($T$196,'TAR FIN'!$A$1:$O$85,15,0))</f>
        <v>303.64999999999998</v>
      </c>
      <c r="X196" s="6">
        <f>IF(ISERROR(VLOOKUP($U$196,'TAR FIN'!$A$1:$O$85,15,0)),0,VLOOKUP($U$196,'TAR FIN'!$A$1:$O$85,15,0))</f>
        <v>310.5</v>
      </c>
      <c r="Y196" s="6"/>
      <c r="Z196" s="6">
        <f ca="1">('TUSD BE'!$AM$48+'TUSD BF'!$AM$48+'TUSD CVA'!$AM$48)*1</f>
        <v>311.36800256146012</v>
      </c>
      <c r="AA196" s="6">
        <f>('TE BE'!$AB$38+'TE BF'!$AB$38+'TE CVA'!$AB$38)*1</f>
        <v>221.79210547670309</v>
      </c>
      <c r="AB196" s="6">
        <f>$K$196*$V$196</f>
        <v>0</v>
      </c>
      <c r="AC196" s="6">
        <f>$M$196*$W$196</f>
        <v>274.80324999999999</v>
      </c>
      <c r="AD196" s="6">
        <f>$O$196*$X$196</f>
        <v>281.0025</v>
      </c>
      <c r="AE196" s="6">
        <f>$K$196*$Y$196</f>
        <v>0</v>
      </c>
      <c r="AF196" s="6">
        <f ca="1">$M$196*$Z$196</f>
        <v>281.78804231812143</v>
      </c>
      <c r="AG196" s="6">
        <f>$O$196*$AA$196</f>
        <v>200.72185545641631</v>
      </c>
    </row>
    <row r="197" spans="1:33" ht="11.25" customHeight="1" x14ac:dyDescent="0.3">
      <c r="A197" s="4" t="s">
        <v>21</v>
      </c>
      <c r="B197" s="4" t="s">
        <v>31</v>
      </c>
      <c r="C197" s="4" t="s">
        <v>23</v>
      </c>
      <c r="D197" s="4" t="s">
        <v>42</v>
      </c>
      <c r="E197" s="4" t="s">
        <v>25</v>
      </c>
      <c r="F197" s="4" t="s">
        <v>25</v>
      </c>
      <c r="G197" s="4" t="s">
        <v>25</v>
      </c>
      <c r="H197" s="4" t="s">
        <v>25</v>
      </c>
      <c r="I197" s="5">
        <v>44652</v>
      </c>
      <c r="J197" s="6">
        <v>0</v>
      </c>
      <c r="K197" s="6">
        <v>0</v>
      </c>
      <c r="L197" s="6">
        <v>0.84099999999999997</v>
      </c>
      <c r="M197" s="6">
        <v>0.84099999999999997</v>
      </c>
      <c r="N197" s="6">
        <v>0.84099999999999997</v>
      </c>
      <c r="O197" s="6">
        <v>0.84099999999999997</v>
      </c>
      <c r="P197" s="6">
        <v>17</v>
      </c>
      <c r="Q197" s="4" t="s">
        <v>26</v>
      </c>
      <c r="R197" s="4">
        <v>0</v>
      </c>
      <c r="S197" s="6">
        <v>0</v>
      </c>
      <c r="T197" s="6">
        <v>32</v>
      </c>
      <c r="U197" s="6">
        <v>55</v>
      </c>
      <c r="V197" s="6">
        <f>IF(ISERROR(VLOOKUP($S$197,'TAR FIN'!$A$1:$O$85,15,0)),0,VLOOKUP($S$197,'TAR FIN'!$A$1:$O$85,15,0))</f>
        <v>0</v>
      </c>
      <c r="W197" s="6">
        <f>IF(ISERROR(VLOOKUP($T$197,'TAR FIN'!$A$1:$O$85,15,0)),0,VLOOKUP($T$197,'TAR FIN'!$A$1:$O$85,15,0))</f>
        <v>303.64999999999998</v>
      </c>
      <c r="X197" s="6">
        <f>IF(ISERROR(VLOOKUP($U$197,'TAR FIN'!$A$1:$O$85,15,0)),0,VLOOKUP($U$197,'TAR FIN'!$A$1:$O$85,15,0))</f>
        <v>310.5</v>
      </c>
      <c r="Y197" s="6"/>
      <c r="Z197" s="6">
        <f ca="1">('TUSD BE'!$AM$48+'TUSD BF'!$AM$48+'TUSD CVA'!$AM$48)*1</f>
        <v>311.36800256146012</v>
      </c>
      <c r="AA197" s="6">
        <f>('TE BE'!$AB$38+'TE BF'!$AB$38+'TE CVA'!$AB$38)*1</f>
        <v>221.79210547670309</v>
      </c>
      <c r="AB197" s="6">
        <f>$K$197*$V$197</f>
        <v>0</v>
      </c>
      <c r="AC197" s="6">
        <f>$M$197*$W$197</f>
        <v>255.36964999999998</v>
      </c>
      <c r="AD197" s="6">
        <f>$O$197*$X$197</f>
        <v>261.13049999999998</v>
      </c>
      <c r="AE197" s="6">
        <f>$K$197*$Y$197</f>
        <v>0</v>
      </c>
      <c r="AF197" s="6">
        <f ca="1">$M$197*$Z$197</f>
        <v>261.86049015418797</v>
      </c>
      <c r="AG197" s="6">
        <f>$O$197*$AA$197</f>
        <v>186.52716070590728</v>
      </c>
    </row>
    <row r="198" spans="1:33" ht="11.25" customHeight="1" x14ac:dyDescent="0.3">
      <c r="A198" s="4" t="s">
        <v>21</v>
      </c>
      <c r="B198" s="4" t="s">
        <v>31</v>
      </c>
      <c r="C198" s="4" t="s">
        <v>23</v>
      </c>
      <c r="D198" s="4" t="s">
        <v>42</v>
      </c>
      <c r="E198" s="4" t="s">
        <v>25</v>
      </c>
      <c r="F198" s="4" t="s">
        <v>25</v>
      </c>
      <c r="G198" s="4" t="s">
        <v>25</v>
      </c>
      <c r="H198" s="4" t="s">
        <v>25</v>
      </c>
      <c r="I198" s="5">
        <v>44682</v>
      </c>
      <c r="J198" s="6">
        <v>0</v>
      </c>
      <c r="K198" s="6">
        <v>0</v>
      </c>
      <c r="L198" s="6">
        <v>0.86399999999999999</v>
      </c>
      <c r="M198" s="6">
        <v>0.86399999999999999</v>
      </c>
      <c r="N198" s="6">
        <v>0.86399999999999999</v>
      </c>
      <c r="O198" s="6">
        <v>0.86399999999999999</v>
      </c>
      <c r="P198" s="6">
        <v>17</v>
      </c>
      <c r="Q198" s="4" t="s">
        <v>26</v>
      </c>
      <c r="R198" s="4">
        <v>0</v>
      </c>
      <c r="S198" s="6">
        <v>0</v>
      </c>
      <c r="T198" s="6">
        <v>32</v>
      </c>
      <c r="U198" s="6">
        <v>55</v>
      </c>
      <c r="V198" s="6">
        <f>IF(ISERROR(VLOOKUP($S$198,'TAR FIN'!$A$1:$O$85,15,0)),0,VLOOKUP($S$198,'TAR FIN'!$A$1:$O$85,15,0))</f>
        <v>0</v>
      </c>
      <c r="W198" s="6">
        <f>IF(ISERROR(VLOOKUP($T$198,'TAR FIN'!$A$1:$O$85,15,0)),0,VLOOKUP($T$198,'TAR FIN'!$A$1:$O$85,15,0))</f>
        <v>303.64999999999998</v>
      </c>
      <c r="X198" s="6">
        <f>IF(ISERROR(VLOOKUP($U$198,'TAR FIN'!$A$1:$O$85,15,0)),0,VLOOKUP($U$198,'TAR FIN'!$A$1:$O$85,15,0))</f>
        <v>310.5</v>
      </c>
      <c r="Y198" s="6"/>
      <c r="Z198" s="6">
        <f ca="1">('TUSD BE'!$AM$48+'TUSD BF'!$AM$48+'TUSD CVA'!$AM$48)*1</f>
        <v>311.36800256146012</v>
      </c>
      <c r="AA198" s="6">
        <f>('TE BE'!$AB$38+'TE BF'!$AB$38+'TE CVA'!$AB$38)*1</f>
        <v>221.79210547670309</v>
      </c>
      <c r="AB198" s="6">
        <f>$K$198*$V$198</f>
        <v>0</v>
      </c>
      <c r="AC198" s="6">
        <f>$M$198*$W$198</f>
        <v>262.35359999999997</v>
      </c>
      <c r="AD198" s="6">
        <f>$O$198*$X$198</f>
        <v>268.27199999999999</v>
      </c>
      <c r="AE198" s="6">
        <f>$K$198*$Y$198</f>
        <v>0</v>
      </c>
      <c r="AF198" s="6">
        <f ca="1">$M$198*$Z$198</f>
        <v>269.02195421310154</v>
      </c>
      <c r="AG198" s="6">
        <f>$O$198*$AA$198</f>
        <v>191.62837913187147</v>
      </c>
    </row>
    <row r="199" spans="1:33" ht="11.25" customHeight="1" x14ac:dyDescent="0.3">
      <c r="A199" s="4" t="s">
        <v>21</v>
      </c>
      <c r="B199" s="4" t="s">
        <v>31</v>
      </c>
      <c r="C199" s="4" t="s">
        <v>23</v>
      </c>
      <c r="D199" s="4" t="s">
        <v>42</v>
      </c>
      <c r="E199" s="4" t="s">
        <v>25</v>
      </c>
      <c r="F199" s="4" t="s">
        <v>25</v>
      </c>
      <c r="G199" s="4" t="s">
        <v>25</v>
      </c>
      <c r="H199" s="4" t="s">
        <v>25</v>
      </c>
      <c r="I199" s="5">
        <v>44713</v>
      </c>
      <c r="J199" s="6">
        <v>0</v>
      </c>
      <c r="K199" s="6">
        <v>0</v>
      </c>
      <c r="L199" s="6">
        <v>0.751</v>
      </c>
      <c r="M199" s="6">
        <v>0.751</v>
      </c>
      <c r="N199" s="6">
        <v>0.751</v>
      </c>
      <c r="O199" s="6">
        <v>0.751</v>
      </c>
      <c r="P199" s="6">
        <v>17</v>
      </c>
      <c r="Q199" s="4" t="s">
        <v>26</v>
      </c>
      <c r="R199" s="4">
        <v>0</v>
      </c>
      <c r="S199" s="6">
        <v>0</v>
      </c>
      <c r="T199" s="6">
        <v>32</v>
      </c>
      <c r="U199" s="6">
        <v>55</v>
      </c>
      <c r="V199" s="6">
        <f>IF(ISERROR(VLOOKUP($S$199,'TAR FIN'!$A$1:$O$85,15,0)),0,VLOOKUP($S$199,'TAR FIN'!$A$1:$O$85,15,0))</f>
        <v>0</v>
      </c>
      <c r="W199" s="6">
        <f>IF(ISERROR(VLOOKUP($T$199,'TAR FIN'!$A$1:$O$85,15,0)),0,VLOOKUP($T$199,'TAR FIN'!$A$1:$O$85,15,0))</f>
        <v>303.64999999999998</v>
      </c>
      <c r="X199" s="6">
        <f>IF(ISERROR(VLOOKUP($U$199,'TAR FIN'!$A$1:$O$85,15,0)),0,VLOOKUP($U$199,'TAR FIN'!$A$1:$O$85,15,0))</f>
        <v>310.5</v>
      </c>
      <c r="Y199" s="6"/>
      <c r="Z199" s="6">
        <f ca="1">('TUSD BE'!$AM$48+'TUSD BF'!$AM$48+'TUSD CVA'!$AM$48)*1</f>
        <v>311.36800256146012</v>
      </c>
      <c r="AA199" s="6">
        <f>('TE BE'!$AB$38+'TE BF'!$AB$38+'TE CVA'!$AB$38)*1</f>
        <v>221.79210547670309</v>
      </c>
      <c r="AB199" s="6">
        <f>$K$199*$V$199</f>
        <v>0</v>
      </c>
      <c r="AC199" s="6">
        <f>$M$199*$W$199</f>
        <v>228.04114999999999</v>
      </c>
      <c r="AD199" s="6">
        <f>$O$199*$X$199</f>
        <v>233.18549999999999</v>
      </c>
      <c r="AE199" s="6">
        <f>$K$199*$Y$199</f>
        <v>0</v>
      </c>
      <c r="AF199" s="6">
        <f ca="1">$M$199*$Z$199</f>
        <v>233.83736992365655</v>
      </c>
      <c r="AG199" s="6">
        <f>$O$199*$AA$199</f>
        <v>166.56587121300402</v>
      </c>
    </row>
    <row r="200" spans="1:33" ht="11.25" customHeight="1" x14ac:dyDescent="0.3">
      <c r="A200" s="4" t="s">
        <v>21</v>
      </c>
      <c r="B200" s="4" t="s">
        <v>31</v>
      </c>
      <c r="C200" s="4" t="s">
        <v>23</v>
      </c>
      <c r="D200" s="4" t="s">
        <v>42</v>
      </c>
      <c r="E200" s="4" t="s">
        <v>25</v>
      </c>
      <c r="F200" s="4" t="s">
        <v>25</v>
      </c>
      <c r="G200" s="4" t="s">
        <v>25</v>
      </c>
      <c r="H200" s="4" t="s">
        <v>25</v>
      </c>
      <c r="I200" s="5">
        <v>44743</v>
      </c>
      <c r="J200" s="6">
        <v>0</v>
      </c>
      <c r="K200" s="6">
        <v>0</v>
      </c>
      <c r="L200" s="6">
        <v>0.872</v>
      </c>
      <c r="M200" s="6">
        <v>0.872</v>
      </c>
      <c r="N200" s="6">
        <v>0.872</v>
      </c>
      <c r="O200" s="6">
        <v>0.872</v>
      </c>
      <c r="P200" s="6">
        <v>17</v>
      </c>
      <c r="Q200" s="4" t="s">
        <v>26</v>
      </c>
      <c r="R200" s="4">
        <v>0</v>
      </c>
      <c r="S200" s="6">
        <v>0</v>
      </c>
      <c r="T200" s="6">
        <v>32</v>
      </c>
      <c r="U200" s="6">
        <v>55</v>
      </c>
      <c r="V200" s="6">
        <f>IF(ISERROR(VLOOKUP($S$200,'TAR FIN'!$A$1:$O$85,15,0)),0,VLOOKUP($S$200,'TAR FIN'!$A$1:$O$85,15,0))</f>
        <v>0</v>
      </c>
      <c r="W200" s="6">
        <f>IF(ISERROR(VLOOKUP($T$200,'TAR FIN'!$A$1:$O$85,15,0)),0,VLOOKUP($T$200,'TAR FIN'!$A$1:$O$85,15,0))</f>
        <v>303.64999999999998</v>
      </c>
      <c r="X200" s="6">
        <f>IF(ISERROR(VLOOKUP($U$200,'TAR FIN'!$A$1:$O$85,15,0)),0,VLOOKUP($U$200,'TAR FIN'!$A$1:$O$85,15,0))</f>
        <v>310.5</v>
      </c>
      <c r="Y200" s="6"/>
      <c r="Z200" s="6">
        <f ca="1">('TUSD BE'!$AM$48+'TUSD BF'!$AM$48+'TUSD CVA'!$AM$48)*1</f>
        <v>311.36800256146012</v>
      </c>
      <c r="AA200" s="6">
        <f>('TE BE'!$AB$38+'TE BF'!$AB$38+'TE CVA'!$AB$38)*1</f>
        <v>221.79210547670309</v>
      </c>
      <c r="AB200" s="6">
        <f>$K$200*$V$200</f>
        <v>0</v>
      </c>
      <c r="AC200" s="6">
        <f>$M$200*$W$200</f>
        <v>264.78279999999995</v>
      </c>
      <c r="AD200" s="6">
        <f>$O$200*$X$200</f>
        <v>270.75599999999997</v>
      </c>
      <c r="AE200" s="6">
        <f>$K$200*$Y$200</f>
        <v>0</v>
      </c>
      <c r="AF200" s="6">
        <f ca="1">$M$200*$Z$200</f>
        <v>271.51289823359321</v>
      </c>
      <c r="AG200" s="6">
        <f>$O$200*$AA$200</f>
        <v>193.40271597568508</v>
      </c>
    </row>
    <row r="201" spans="1:33" ht="11.25" customHeight="1" x14ac:dyDescent="0.3">
      <c r="A201" s="4" t="s">
        <v>21</v>
      </c>
      <c r="B201" s="4" t="s">
        <v>31</v>
      </c>
      <c r="C201" s="4" t="s">
        <v>23</v>
      </c>
      <c r="D201" s="4" t="s">
        <v>42</v>
      </c>
      <c r="E201" s="4" t="s">
        <v>25</v>
      </c>
      <c r="F201" s="4" t="s">
        <v>25</v>
      </c>
      <c r="G201" s="4" t="s">
        <v>25</v>
      </c>
      <c r="H201" s="4" t="s">
        <v>25</v>
      </c>
      <c r="I201" s="5">
        <v>44774</v>
      </c>
      <c r="J201" s="6">
        <v>0</v>
      </c>
      <c r="K201" s="6">
        <v>0</v>
      </c>
      <c r="L201" s="6">
        <v>0.86499999999999999</v>
      </c>
      <c r="M201" s="6">
        <v>0.86499999999999999</v>
      </c>
      <c r="N201" s="6">
        <v>0.86499999999999999</v>
      </c>
      <c r="O201" s="6">
        <v>0.86499999999999999</v>
      </c>
      <c r="P201" s="6">
        <v>17</v>
      </c>
      <c r="Q201" s="4" t="s">
        <v>26</v>
      </c>
      <c r="R201" s="4">
        <v>0</v>
      </c>
      <c r="S201" s="6">
        <v>0</v>
      </c>
      <c r="T201" s="6">
        <v>32</v>
      </c>
      <c r="U201" s="6">
        <v>55</v>
      </c>
      <c r="V201" s="6">
        <f>IF(ISERROR(VLOOKUP($S$201,'TAR FIN'!$A$1:$O$85,15,0)),0,VLOOKUP($S$201,'TAR FIN'!$A$1:$O$85,15,0))</f>
        <v>0</v>
      </c>
      <c r="W201" s="6">
        <f>IF(ISERROR(VLOOKUP($T$201,'TAR FIN'!$A$1:$O$85,15,0)),0,VLOOKUP($T$201,'TAR FIN'!$A$1:$O$85,15,0))</f>
        <v>303.64999999999998</v>
      </c>
      <c r="X201" s="6">
        <f>IF(ISERROR(VLOOKUP($U$201,'TAR FIN'!$A$1:$O$85,15,0)),0,VLOOKUP($U$201,'TAR FIN'!$A$1:$O$85,15,0))</f>
        <v>310.5</v>
      </c>
      <c r="Y201" s="6"/>
      <c r="Z201" s="6">
        <f ca="1">('TUSD BE'!$AM$48+'TUSD BF'!$AM$48+'TUSD CVA'!$AM$48)*1</f>
        <v>311.36800256146012</v>
      </c>
      <c r="AA201" s="6">
        <f>('TE BE'!$AB$38+'TE BF'!$AB$38+'TE CVA'!$AB$38)*1</f>
        <v>221.79210547670309</v>
      </c>
      <c r="AB201" s="6">
        <f>$K$201*$V$201</f>
        <v>0</v>
      </c>
      <c r="AC201" s="6">
        <f>$M$201*$W$201</f>
        <v>262.65724999999998</v>
      </c>
      <c r="AD201" s="6">
        <f>$O$201*$X$201</f>
        <v>268.58249999999998</v>
      </c>
      <c r="AE201" s="6">
        <f>$K$201*$Y$201</f>
        <v>0</v>
      </c>
      <c r="AF201" s="6">
        <f ca="1">$M$201*$Z$201</f>
        <v>269.33332221566297</v>
      </c>
      <c r="AG201" s="6">
        <f>$O$201*$AA$201</f>
        <v>191.85017123734818</v>
      </c>
    </row>
    <row r="202" spans="1:33" ht="11.25" customHeight="1" x14ac:dyDescent="0.3">
      <c r="A202" s="4" t="s">
        <v>21</v>
      </c>
      <c r="B202" s="4" t="s">
        <v>31</v>
      </c>
      <c r="C202" s="4" t="s">
        <v>23</v>
      </c>
      <c r="D202" s="4" t="s">
        <v>46</v>
      </c>
      <c r="E202" s="4" t="s">
        <v>47</v>
      </c>
      <c r="F202" s="4" t="s">
        <v>25</v>
      </c>
      <c r="G202" s="4" t="s">
        <v>25</v>
      </c>
      <c r="H202" s="4" t="s">
        <v>25</v>
      </c>
      <c r="I202" s="5">
        <v>44440</v>
      </c>
      <c r="J202" s="6">
        <v>0</v>
      </c>
      <c r="K202" s="52">
        <v>0</v>
      </c>
      <c r="L202" s="6">
        <v>0.79900000000000004</v>
      </c>
      <c r="M202" s="52">
        <v>0.79900000000000004</v>
      </c>
      <c r="N202" s="6">
        <v>0.79900000000000004</v>
      </c>
      <c r="O202" s="52">
        <v>0.79900000000000004</v>
      </c>
      <c r="P202" s="6">
        <v>2</v>
      </c>
      <c r="Q202" s="4" t="s">
        <v>26</v>
      </c>
      <c r="R202" s="4">
        <v>0</v>
      </c>
      <c r="S202" s="6">
        <v>0</v>
      </c>
      <c r="T202" s="6">
        <v>32</v>
      </c>
      <c r="U202" s="6">
        <v>55</v>
      </c>
      <c r="V202" s="52">
        <f>IF(ISERROR(VLOOKUP($S$202,'TAR FIN'!$A$1:$O$85,15,0)),0,VLOOKUP($S$202,'TAR FIN'!$A$1:$O$85,15,0))</f>
        <v>0</v>
      </c>
      <c r="W202" s="52">
        <f>IF(ISERROR(VLOOKUP($T$202,'TAR FIN'!$A$1:$O$85,15,0)),0,VLOOKUP($T$202,'TAR FIN'!$A$1:$O$85,15,0))*(1-0.06)</f>
        <v>285.43099999999998</v>
      </c>
      <c r="X202" s="52">
        <f>IF(ISERROR(VLOOKUP($U$202,'TAR FIN'!$A$1:$O$85,15,0)),0,VLOOKUP($U$202,'TAR FIN'!$A$1:$O$85,15,0))*(1-0.06)</f>
        <v>291.87</v>
      </c>
      <c r="Y202" s="52"/>
      <c r="Z202" s="52">
        <f ca="1">('TUSD BE'!$AM$48+'TUSD BF'!$AM$48+'TUSD CVA'!$AM$48)*1*(1-0.03)</f>
        <v>302.02696248461632</v>
      </c>
      <c r="AA202" s="52">
        <f>('TE BE'!$AB$38+'TE BF'!$AB$38+'TE CVA'!$AB$38)*1*(1-0.03)</f>
        <v>215.13834231240199</v>
      </c>
      <c r="AB202" s="6">
        <f>$K$202*$V$202</f>
        <v>0</v>
      </c>
      <c r="AC202" s="6">
        <f>$M$202*$W$202</f>
        <v>228.059369</v>
      </c>
      <c r="AD202" s="6">
        <f>$O$202*$X$202</f>
        <v>233.20413000000002</v>
      </c>
      <c r="AE202" s="6">
        <f>$K$202*$Y$202</f>
        <v>0</v>
      </c>
      <c r="AF202" s="6">
        <f ca="1">$M$202*$Z$202</f>
        <v>241.31954302520845</v>
      </c>
      <c r="AG202" s="6">
        <f>$O$202*$AA$202</f>
        <v>171.8955355076092</v>
      </c>
    </row>
    <row r="203" spans="1:33" ht="11.25" customHeight="1" x14ac:dyDescent="0.3">
      <c r="A203" s="4" t="s">
        <v>21</v>
      </c>
      <c r="B203" s="4" t="s">
        <v>31</v>
      </c>
      <c r="C203" s="4" t="s">
        <v>23</v>
      </c>
      <c r="D203" s="4" t="s">
        <v>46</v>
      </c>
      <c r="E203" s="4" t="s">
        <v>47</v>
      </c>
      <c r="F203" s="4" t="s">
        <v>25</v>
      </c>
      <c r="G203" s="4" t="s">
        <v>25</v>
      </c>
      <c r="H203" s="4" t="s">
        <v>25</v>
      </c>
      <c r="I203" s="5">
        <v>44470</v>
      </c>
      <c r="J203" s="6">
        <v>0</v>
      </c>
      <c r="K203" s="52">
        <v>0</v>
      </c>
      <c r="L203" s="6">
        <v>0.68899999999999995</v>
      </c>
      <c r="M203" s="52">
        <v>0.68899999999999995</v>
      </c>
      <c r="N203" s="6">
        <v>0.68899999999999995</v>
      </c>
      <c r="O203" s="52">
        <v>0.68899999999999995</v>
      </c>
      <c r="P203" s="6">
        <v>2</v>
      </c>
      <c r="Q203" s="4" t="s">
        <v>26</v>
      </c>
      <c r="R203" s="4">
        <v>0</v>
      </c>
      <c r="S203" s="6">
        <v>0</v>
      </c>
      <c r="T203" s="6">
        <v>32</v>
      </c>
      <c r="U203" s="6">
        <v>55</v>
      </c>
      <c r="V203" s="52">
        <f>IF(ISERROR(VLOOKUP($S$203,'TAR FIN'!$A$1:$O$85,15,0)),0,VLOOKUP($S$203,'TAR FIN'!$A$1:$O$85,15,0))</f>
        <v>0</v>
      </c>
      <c r="W203" s="52">
        <f>IF(ISERROR(VLOOKUP($T$203,'TAR FIN'!$A$1:$O$85,15,0)),0,VLOOKUP($T$203,'TAR FIN'!$A$1:$O$85,15,0))*(1-0.06)</f>
        <v>285.43099999999998</v>
      </c>
      <c r="X203" s="52">
        <f>IF(ISERROR(VLOOKUP($U$203,'TAR FIN'!$A$1:$O$85,15,0)),0,VLOOKUP($U$203,'TAR FIN'!$A$1:$O$85,15,0))*(1-0.06)</f>
        <v>291.87</v>
      </c>
      <c r="Y203" s="52"/>
      <c r="Z203" s="52">
        <f ca="1">('TUSD BE'!$AM$48+'TUSD BF'!$AM$48+'TUSD CVA'!$AM$48)*1*(1-0.03)</f>
        <v>302.02696248461632</v>
      </c>
      <c r="AA203" s="52">
        <f>('TE BE'!$AB$38+'TE BF'!$AB$38+'TE CVA'!$AB$38)*1*(1-0.03)</f>
        <v>215.13834231240199</v>
      </c>
      <c r="AB203" s="6">
        <f>$K$203*$V$203</f>
        <v>0</v>
      </c>
      <c r="AC203" s="6">
        <f>$M$203*$W$203</f>
        <v>196.66195899999997</v>
      </c>
      <c r="AD203" s="6">
        <f>$O$203*$X$203</f>
        <v>201.09842999999998</v>
      </c>
      <c r="AE203" s="6">
        <f>$K$203*$Y$203</f>
        <v>0</v>
      </c>
      <c r="AF203" s="6">
        <f ca="1">$M$203*$Z$203</f>
        <v>208.09657715190062</v>
      </c>
      <c r="AG203" s="6">
        <f>$O$203*$AA$203</f>
        <v>148.23031785324497</v>
      </c>
    </row>
    <row r="204" spans="1:33" ht="11.25" customHeight="1" x14ac:dyDescent="0.3">
      <c r="A204" s="4" t="s">
        <v>21</v>
      </c>
      <c r="B204" s="4" t="s">
        <v>31</v>
      </c>
      <c r="C204" s="4" t="s">
        <v>23</v>
      </c>
      <c r="D204" s="4" t="s">
        <v>46</v>
      </c>
      <c r="E204" s="4" t="s">
        <v>47</v>
      </c>
      <c r="F204" s="4" t="s">
        <v>25</v>
      </c>
      <c r="G204" s="4" t="s">
        <v>25</v>
      </c>
      <c r="H204" s="4" t="s">
        <v>25</v>
      </c>
      <c r="I204" s="5">
        <v>44501</v>
      </c>
      <c r="J204" s="6">
        <v>0</v>
      </c>
      <c r="K204" s="52">
        <v>0</v>
      </c>
      <c r="L204" s="6">
        <v>0.83799999999999997</v>
      </c>
      <c r="M204" s="52">
        <v>0.83799999999999997</v>
      </c>
      <c r="N204" s="6">
        <v>0.83799999999999997</v>
      </c>
      <c r="O204" s="52">
        <v>0.83799999999999997</v>
      </c>
      <c r="P204" s="6">
        <v>2</v>
      </c>
      <c r="Q204" s="4" t="s">
        <v>26</v>
      </c>
      <c r="R204" s="4">
        <v>0</v>
      </c>
      <c r="S204" s="6">
        <v>0</v>
      </c>
      <c r="T204" s="6">
        <v>32</v>
      </c>
      <c r="U204" s="6">
        <v>55</v>
      </c>
      <c r="V204" s="52">
        <f>IF(ISERROR(VLOOKUP($S$204,'TAR FIN'!$A$1:$O$85,15,0)),0,VLOOKUP($S$204,'TAR FIN'!$A$1:$O$85,15,0))</f>
        <v>0</v>
      </c>
      <c r="W204" s="52">
        <f>IF(ISERROR(VLOOKUP($T$204,'TAR FIN'!$A$1:$O$85,15,0)),0,VLOOKUP($T$204,'TAR FIN'!$A$1:$O$85,15,0))*(1-0.06)</f>
        <v>285.43099999999998</v>
      </c>
      <c r="X204" s="52">
        <f>IF(ISERROR(VLOOKUP($U$204,'TAR FIN'!$A$1:$O$85,15,0)),0,VLOOKUP($U$204,'TAR FIN'!$A$1:$O$85,15,0))*(1-0.06)</f>
        <v>291.87</v>
      </c>
      <c r="Y204" s="52"/>
      <c r="Z204" s="52">
        <f ca="1">('TUSD BE'!$AM$48+'TUSD BF'!$AM$48+'TUSD CVA'!$AM$48)*1*(1-0.03)</f>
        <v>302.02696248461632</v>
      </c>
      <c r="AA204" s="52">
        <f>('TE BE'!$AB$38+'TE BF'!$AB$38+'TE CVA'!$AB$38)*1*(1-0.03)</f>
        <v>215.13834231240199</v>
      </c>
      <c r="AB204" s="6">
        <f>$K$204*$V$204</f>
        <v>0</v>
      </c>
      <c r="AC204" s="6">
        <f>$M$204*$W$204</f>
        <v>239.19117799999998</v>
      </c>
      <c r="AD204" s="6">
        <f>$O$204*$X$204</f>
        <v>244.58706000000001</v>
      </c>
      <c r="AE204" s="6">
        <f>$K$204*$Y$204</f>
        <v>0</v>
      </c>
      <c r="AF204" s="6">
        <f ca="1">$M$204*$Z$204</f>
        <v>253.09859456210847</v>
      </c>
      <c r="AG204" s="6">
        <f>$O$204*$AA$204</f>
        <v>180.28593085779286</v>
      </c>
    </row>
    <row r="205" spans="1:33" ht="11.25" customHeight="1" x14ac:dyDescent="0.3">
      <c r="A205" s="4" t="s">
        <v>21</v>
      </c>
      <c r="B205" s="4" t="s">
        <v>31</v>
      </c>
      <c r="C205" s="4" t="s">
        <v>23</v>
      </c>
      <c r="D205" s="4" t="s">
        <v>46</v>
      </c>
      <c r="E205" s="4" t="s">
        <v>47</v>
      </c>
      <c r="F205" s="4" t="s">
        <v>25</v>
      </c>
      <c r="G205" s="4" t="s">
        <v>25</v>
      </c>
      <c r="H205" s="4" t="s">
        <v>25</v>
      </c>
      <c r="I205" s="5">
        <v>44531</v>
      </c>
      <c r="J205" s="6">
        <v>0</v>
      </c>
      <c r="K205" s="52">
        <v>0</v>
      </c>
      <c r="L205" s="6">
        <v>0.78700000000000003</v>
      </c>
      <c r="M205" s="52">
        <v>0.78700000000000003</v>
      </c>
      <c r="N205" s="6">
        <v>0.78700000000000003</v>
      </c>
      <c r="O205" s="52">
        <v>0.78700000000000003</v>
      </c>
      <c r="P205" s="6">
        <v>2</v>
      </c>
      <c r="Q205" s="4" t="s">
        <v>26</v>
      </c>
      <c r="R205" s="4">
        <v>0</v>
      </c>
      <c r="S205" s="6">
        <v>0</v>
      </c>
      <c r="T205" s="6">
        <v>32</v>
      </c>
      <c r="U205" s="6">
        <v>55</v>
      </c>
      <c r="V205" s="52">
        <f>IF(ISERROR(VLOOKUP($S$205,'TAR FIN'!$A$1:$O$85,15,0)),0,VLOOKUP($S$205,'TAR FIN'!$A$1:$O$85,15,0))</f>
        <v>0</v>
      </c>
      <c r="W205" s="52">
        <f>IF(ISERROR(VLOOKUP($T$205,'TAR FIN'!$A$1:$O$85,15,0)),0,VLOOKUP($T$205,'TAR FIN'!$A$1:$O$85,15,0))*(1-0.06)</f>
        <v>285.43099999999998</v>
      </c>
      <c r="X205" s="52">
        <f>IF(ISERROR(VLOOKUP($U$205,'TAR FIN'!$A$1:$O$85,15,0)),0,VLOOKUP($U$205,'TAR FIN'!$A$1:$O$85,15,0))*(1-0.06)</f>
        <v>291.87</v>
      </c>
      <c r="Y205" s="52"/>
      <c r="Z205" s="52">
        <f ca="1">('TUSD BE'!$AM$48+'TUSD BF'!$AM$48+'TUSD CVA'!$AM$48)*1*(1-0.03)</f>
        <v>302.02696248461632</v>
      </c>
      <c r="AA205" s="52">
        <f>('TE BE'!$AB$38+'TE BF'!$AB$38+'TE CVA'!$AB$38)*1*(1-0.03)</f>
        <v>215.13834231240199</v>
      </c>
      <c r="AB205" s="6">
        <f>$K$205*$V$205</f>
        <v>0</v>
      </c>
      <c r="AC205" s="6">
        <f>$M$205*$W$205</f>
        <v>224.634197</v>
      </c>
      <c r="AD205" s="6">
        <f>$O$205*$X$205</f>
        <v>229.70169000000001</v>
      </c>
      <c r="AE205" s="6">
        <f>$K$205*$Y$205</f>
        <v>0</v>
      </c>
      <c r="AF205" s="6">
        <f ca="1">$M$205*$Z$205</f>
        <v>237.69521947539306</v>
      </c>
      <c r="AG205" s="6">
        <f>$O$205*$AA$205</f>
        <v>169.31387539986036</v>
      </c>
    </row>
    <row r="206" spans="1:33" ht="11.25" customHeight="1" x14ac:dyDescent="0.3">
      <c r="A206" s="4" t="s">
        <v>21</v>
      </c>
      <c r="B206" s="4" t="s">
        <v>31</v>
      </c>
      <c r="C206" s="4" t="s">
        <v>23</v>
      </c>
      <c r="D206" s="4" t="s">
        <v>46</v>
      </c>
      <c r="E206" s="4" t="s">
        <v>47</v>
      </c>
      <c r="F206" s="4" t="s">
        <v>25</v>
      </c>
      <c r="G206" s="4" t="s">
        <v>25</v>
      </c>
      <c r="H206" s="4" t="s">
        <v>25</v>
      </c>
      <c r="I206" s="5">
        <v>44562</v>
      </c>
      <c r="J206" s="6">
        <v>0</v>
      </c>
      <c r="K206" s="52">
        <v>0</v>
      </c>
      <c r="L206" s="6">
        <v>0.80200000000000005</v>
      </c>
      <c r="M206" s="52">
        <v>0.80200000000000005</v>
      </c>
      <c r="N206" s="6">
        <v>0.80200000000000005</v>
      </c>
      <c r="O206" s="52">
        <v>0.80200000000000005</v>
      </c>
      <c r="P206" s="6">
        <v>2</v>
      </c>
      <c r="Q206" s="4" t="s">
        <v>26</v>
      </c>
      <c r="R206" s="4">
        <v>0</v>
      </c>
      <c r="S206" s="6">
        <v>0</v>
      </c>
      <c r="T206" s="6">
        <v>32</v>
      </c>
      <c r="U206" s="6">
        <v>55</v>
      </c>
      <c r="V206" s="52">
        <f>IF(ISERROR(VLOOKUP($S$206,'TAR FIN'!$A$1:$O$85,15,0)),0,VLOOKUP($S$206,'TAR FIN'!$A$1:$O$85,15,0))</f>
        <v>0</v>
      </c>
      <c r="W206" s="52">
        <f>IF(ISERROR(VLOOKUP($T$206,'TAR FIN'!$A$1:$O$85,15,0)),0,VLOOKUP($T$206,'TAR FIN'!$A$1:$O$85,15,0))*(1-0.06)</f>
        <v>285.43099999999998</v>
      </c>
      <c r="X206" s="52">
        <f>IF(ISERROR(VLOOKUP($U$206,'TAR FIN'!$A$1:$O$85,15,0)),0,VLOOKUP($U$206,'TAR FIN'!$A$1:$O$85,15,0))*(1-0.06)</f>
        <v>291.87</v>
      </c>
      <c r="Y206" s="52"/>
      <c r="Z206" s="52">
        <f ca="1">('TUSD BE'!$AM$48+'TUSD BF'!$AM$48+'TUSD CVA'!$AM$48)*1*(1-0.03)</f>
        <v>302.02696248461632</v>
      </c>
      <c r="AA206" s="52">
        <f>('TE BE'!$AB$38+'TE BF'!$AB$38+'TE CVA'!$AB$38)*1*(1-0.03)</f>
        <v>215.13834231240199</v>
      </c>
      <c r="AB206" s="6">
        <f>$K$206*$V$206</f>
        <v>0</v>
      </c>
      <c r="AC206" s="6">
        <f>$M$206*$W$206</f>
        <v>228.915662</v>
      </c>
      <c r="AD206" s="6">
        <f>$O$206*$X$206</f>
        <v>234.07974000000002</v>
      </c>
      <c r="AE206" s="6">
        <f>$K$206*$Y$206</f>
        <v>0</v>
      </c>
      <c r="AF206" s="6">
        <f ca="1">$M$206*$Z$206</f>
        <v>242.22562391266231</v>
      </c>
      <c r="AG206" s="6">
        <f>$O$206*$AA$206</f>
        <v>172.5409505345464</v>
      </c>
    </row>
    <row r="207" spans="1:33" ht="11.25" customHeight="1" x14ac:dyDescent="0.3">
      <c r="A207" s="4" t="s">
        <v>21</v>
      </c>
      <c r="B207" s="4" t="s">
        <v>31</v>
      </c>
      <c r="C207" s="4" t="s">
        <v>23</v>
      </c>
      <c r="D207" s="4" t="s">
        <v>46</v>
      </c>
      <c r="E207" s="4" t="s">
        <v>47</v>
      </c>
      <c r="F207" s="4" t="s">
        <v>25</v>
      </c>
      <c r="G207" s="4" t="s">
        <v>25</v>
      </c>
      <c r="H207" s="4" t="s">
        <v>25</v>
      </c>
      <c r="I207" s="5">
        <v>44593</v>
      </c>
      <c r="J207" s="6">
        <v>0</v>
      </c>
      <c r="K207" s="52">
        <v>0</v>
      </c>
      <c r="L207" s="6">
        <v>0.71099999999999997</v>
      </c>
      <c r="M207" s="52">
        <v>0.71099999999999997</v>
      </c>
      <c r="N207" s="6">
        <v>0.71099999999999997</v>
      </c>
      <c r="O207" s="52">
        <v>0.71099999999999997</v>
      </c>
      <c r="P207" s="6">
        <v>2</v>
      </c>
      <c r="Q207" s="4" t="s">
        <v>26</v>
      </c>
      <c r="R207" s="4">
        <v>0</v>
      </c>
      <c r="S207" s="6">
        <v>0</v>
      </c>
      <c r="T207" s="6">
        <v>32</v>
      </c>
      <c r="U207" s="6">
        <v>55</v>
      </c>
      <c r="V207" s="52">
        <f>IF(ISERROR(VLOOKUP($S$207,'TAR FIN'!$A$1:$O$85,15,0)),0,VLOOKUP($S$207,'TAR FIN'!$A$1:$O$85,15,0))</f>
        <v>0</v>
      </c>
      <c r="W207" s="52">
        <f>IF(ISERROR(VLOOKUP($T$207,'TAR FIN'!$A$1:$O$85,15,0)),0,VLOOKUP($T$207,'TAR FIN'!$A$1:$O$85,15,0))*(1-0.06)</f>
        <v>285.43099999999998</v>
      </c>
      <c r="X207" s="52">
        <f>IF(ISERROR(VLOOKUP($U$207,'TAR FIN'!$A$1:$O$85,15,0)),0,VLOOKUP($U$207,'TAR FIN'!$A$1:$O$85,15,0))*(1-0.06)</f>
        <v>291.87</v>
      </c>
      <c r="Y207" s="52"/>
      <c r="Z207" s="52">
        <f ca="1">('TUSD BE'!$AM$48+'TUSD BF'!$AM$48+'TUSD CVA'!$AM$48)*1*(1-0.03)</f>
        <v>302.02696248461632</v>
      </c>
      <c r="AA207" s="52">
        <f>('TE BE'!$AB$38+'TE BF'!$AB$38+'TE CVA'!$AB$38)*1*(1-0.03)</f>
        <v>215.13834231240199</v>
      </c>
      <c r="AB207" s="6">
        <f>$K$207*$V$207</f>
        <v>0</v>
      </c>
      <c r="AC207" s="6">
        <f>$M$207*$W$207</f>
        <v>202.94144099999997</v>
      </c>
      <c r="AD207" s="6">
        <f>$O$207*$X$207</f>
        <v>207.51956999999999</v>
      </c>
      <c r="AE207" s="6">
        <f>$K$207*$Y$207</f>
        <v>0</v>
      </c>
      <c r="AF207" s="6">
        <f ca="1">$M$207*$Z$207</f>
        <v>214.74117032656218</v>
      </c>
      <c r="AG207" s="6">
        <f>$O$207*$AA$207</f>
        <v>152.9633613841178</v>
      </c>
    </row>
    <row r="208" spans="1:33" ht="11.25" customHeight="1" x14ac:dyDescent="0.3">
      <c r="A208" s="4" t="s">
        <v>21</v>
      </c>
      <c r="B208" s="4" t="s">
        <v>31</v>
      </c>
      <c r="C208" s="4" t="s">
        <v>23</v>
      </c>
      <c r="D208" s="4" t="s">
        <v>46</v>
      </c>
      <c r="E208" s="4" t="s">
        <v>47</v>
      </c>
      <c r="F208" s="4" t="s">
        <v>25</v>
      </c>
      <c r="G208" s="4" t="s">
        <v>25</v>
      </c>
      <c r="H208" s="4" t="s">
        <v>25</v>
      </c>
      <c r="I208" s="5">
        <v>44621</v>
      </c>
      <c r="J208" s="6">
        <v>0</v>
      </c>
      <c r="K208" s="52">
        <v>0</v>
      </c>
      <c r="L208" s="6">
        <v>0.63300000000000001</v>
      </c>
      <c r="M208" s="52">
        <v>0.63300000000000001</v>
      </c>
      <c r="N208" s="6">
        <v>0.63300000000000001</v>
      </c>
      <c r="O208" s="52">
        <v>0.63300000000000001</v>
      </c>
      <c r="P208" s="6">
        <v>2</v>
      </c>
      <c r="Q208" s="4" t="s">
        <v>26</v>
      </c>
      <c r="R208" s="4">
        <v>0</v>
      </c>
      <c r="S208" s="6">
        <v>0</v>
      </c>
      <c r="T208" s="6">
        <v>32</v>
      </c>
      <c r="U208" s="6">
        <v>55</v>
      </c>
      <c r="V208" s="52">
        <f>IF(ISERROR(VLOOKUP($S$208,'TAR FIN'!$A$1:$O$85,15,0)),0,VLOOKUP($S$208,'TAR FIN'!$A$1:$O$85,15,0))</f>
        <v>0</v>
      </c>
      <c r="W208" s="52">
        <f>IF(ISERROR(VLOOKUP($T$208,'TAR FIN'!$A$1:$O$85,15,0)),0,VLOOKUP($T$208,'TAR FIN'!$A$1:$O$85,15,0))*(1-0.06)</f>
        <v>285.43099999999998</v>
      </c>
      <c r="X208" s="52">
        <f>IF(ISERROR(VLOOKUP($U$208,'TAR FIN'!$A$1:$O$85,15,0)),0,VLOOKUP($U$208,'TAR FIN'!$A$1:$O$85,15,0))*(1-0.06)</f>
        <v>291.87</v>
      </c>
      <c r="Y208" s="52"/>
      <c r="Z208" s="52">
        <f ca="1">('TUSD BE'!$AM$48+'TUSD BF'!$AM$48+'TUSD CVA'!$AM$48)*1*(1-0.03)</f>
        <v>302.02696248461632</v>
      </c>
      <c r="AA208" s="52">
        <f>('TE BE'!$AB$38+'TE BF'!$AB$38+'TE CVA'!$AB$38)*1*(1-0.03)</f>
        <v>215.13834231240199</v>
      </c>
      <c r="AB208" s="6">
        <f>$K$208*$V$208</f>
        <v>0</v>
      </c>
      <c r="AC208" s="6">
        <f>$M$208*$W$208</f>
        <v>180.67782299999999</v>
      </c>
      <c r="AD208" s="6">
        <f>$O$208*$X$208</f>
        <v>184.75371000000001</v>
      </c>
      <c r="AE208" s="6">
        <f>$K$208*$Y$208</f>
        <v>0</v>
      </c>
      <c r="AF208" s="6">
        <f ca="1">$M$208*$Z$208</f>
        <v>191.18306725276213</v>
      </c>
      <c r="AG208" s="6">
        <f>$O$208*$AA$208</f>
        <v>136.18257068375047</v>
      </c>
    </row>
    <row r="209" spans="1:33" ht="11.25" customHeight="1" x14ac:dyDescent="0.3">
      <c r="A209" s="4" t="s">
        <v>21</v>
      </c>
      <c r="B209" s="4" t="s">
        <v>31</v>
      </c>
      <c r="C209" s="4" t="s">
        <v>23</v>
      </c>
      <c r="D209" s="4" t="s">
        <v>46</v>
      </c>
      <c r="E209" s="4" t="s">
        <v>47</v>
      </c>
      <c r="F209" s="4" t="s">
        <v>25</v>
      </c>
      <c r="G209" s="4" t="s">
        <v>25</v>
      </c>
      <c r="H209" s="4" t="s">
        <v>25</v>
      </c>
      <c r="I209" s="5">
        <v>44652</v>
      </c>
      <c r="J209" s="6">
        <v>0</v>
      </c>
      <c r="K209" s="52">
        <v>0</v>
      </c>
      <c r="L209" s="6">
        <v>0.309</v>
      </c>
      <c r="M209" s="52">
        <v>0.309</v>
      </c>
      <c r="N209" s="6">
        <v>0.309</v>
      </c>
      <c r="O209" s="52">
        <v>0.309</v>
      </c>
      <c r="P209" s="6">
        <v>2</v>
      </c>
      <c r="Q209" s="4" t="s">
        <v>26</v>
      </c>
      <c r="R209" s="4">
        <v>0</v>
      </c>
      <c r="S209" s="6">
        <v>0</v>
      </c>
      <c r="T209" s="6">
        <v>32</v>
      </c>
      <c r="U209" s="6">
        <v>55</v>
      </c>
      <c r="V209" s="52">
        <f>IF(ISERROR(VLOOKUP($S$209,'TAR FIN'!$A$1:$O$85,15,0)),0,VLOOKUP($S$209,'TAR FIN'!$A$1:$O$85,15,0))</f>
        <v>0</v>
      </c>
      <c r="W209" s="52">
        <f>IF(ISERROR(VLOOKUP($T$209,'TAR FIN'!$A$1:$O$85,15,0)),0,VLOOKUP($T$209,'TAR FIN'!$A$1:$O$85,15,0))*(1-0.06)</f>
        <v>285.43099999999998</v>
      </c>
      <c r="X209" s="52">
        <f>IF(ISERROR(VLOOKUP($U$209,'TAR FIN'!$A$1:$O$85,15,0)),0,VLOOKUP($U$209,'TAR FIN'!$A$1:$O$85,15,0))*(1-0.06)</f>
        <v>291.87</v>
      </c>
      <c r="Y209" s="52"/>
      <c r="Z209" s="52">
        <f ca="1">('TUSD BE'!$AM$48+'TUSD BF'!$AM$48+'TUSD CVA'!$AM$48)*1*(1-0.03)</f>
        <v>302.02696248461632</v>
      </c>
      <c r="AA209" s="52">
        <f>('TE BE'!$AB$38+'TE BF'!$AB$38+'TE CVA'!$AB$38)*1*(1-0.03)</f>
        <v>215.13834231240199</v>
      </c>
      <c r="AB209" s="6">
        <f>$K$209*$V$209</f>
        <v>0</v>
      </c>
      <c r="AC209" s="6">
        <f>$M$209*$W$209</f>
        <v>88.198178999999996</v>
      </c>
      <c r="AD209" s="6">
        <f>$O$209*$X$209</f>
        <v>90.187830000000005</v>
      </c>
      <c r="AE209" s="6">
        <f>$K$209*$Y$209</f>
        <v>0</v>
      </c>
      <c r="AF209" s="6">
        <f ca="1">$M$209*$Z$209</f>
        <v>93.326331407746437</v>
      </c>
      <c r="AG209" s="6">
        <f>$O$209*$AA$209</f>
        <v>66.477747774532219</v>
      </c>
    </row>
    <row r="210" spans="1:33" ht="11.25" customHeight="1" x14ac:dyDescent="0.3">
      <c r="A210" s="4" t="s">
        <v>21</v>
      </c>
      <c r="B210" s="4" t="s">
        <v>31</v>
      </c>
      <c r="C210" s="4" t="s">
        <v>23</v>
      </c>
      <c r="D210" s="4" t="s">
        <v>46</v>
      </c>
      <c r="E210" s="4" t="s">
        <v>47</v>
      </c>
      <c r="F210" s="4" t="s">
        <v>25</v>
      </c>
      <c r="G210" s="4" t="s">
        <v>25</v>
      </c>
      <c r="H210" s="4" t="s">
        <v>25</v>
      </c>
      <c r="I210" s="5">
        <v>44682</v>
      </c>
      <c r="J210" s="6">
        <v>0</v>
      </c>
      <c r="K210" s="52">
        <v>0</v>
      </c>
      <c r="L210" s="6">
        <v>0.31900000000000001</v>
      </c>
      <c r="M210" s="52">
        <v>0.31900000000000001</v>
      </c>
      <c r="N210" s="6">
        <v>0.31900000000000001</v>
      </c>
      <c r="O210" s="52">
        <v>0.31900000000000001</v>
      </c>
      <c r="P210" s="6">
        <v>2</v>
      </c>
      <c r="Q210" s="4" t="s">
        <v>26</v>
      </c>
      <c r="R210" s="4">
        <v>0</v>
      </c>
      <c r="S210" s="6">
        <v>0</v>
      </c>
      <c r="T210" s="6">
        <v>32</v>
      </c>
      <c r="U210" s="6">
        <v>55</v>
      </c>
      <c r="V210" s="52">
        <f>IF(ISERROR(VLOOKUP($S$210,'TAR FIN'!$A$1:$O$85,15,0)),0,VLOOKUP($S$210,'TAR FIN'!$A$1:$O$85,15,0))</f>
        <v>0</v>
      </c>
      <c r="W210" s="52">
        <f>IF(ISERROR(VLOOKUP($T$210,'TAR FIN'!$A$1:$O$85,15,0)),0,VLOOKUP($T$210,'TAR FIN'!$A$1:$O$85,15,0))*(1-0.06)</f>
        <v>285.43099999999998</v>
      </c>
      <c r="X210" s="52">
        <f>IF(ISERROR(VLOOKUP($U$210,'TAR FIN'!$A$1:$O$85,15,0)),0,VLOOKUP($U$210,'TAR FIN'!$A$1:$O$85,15,0))*(1-0.06)</f>
        <v>291.87</v>
      </c>
      <c r="Y210" s="52"/>
      <c r="Z210" s="52">
        <f ca="1">('TUSD BE'!$AM$48+'TUSD BF'!$AM$48+'TUSD CVA'!$AM$48)*1*(1-0.03)</f>
        <v>302.02696248461632</v>
      </c>
      <c r="AA210" s="52">
        <f>('TE BE'!$AB$38+'TE BF'!$AB$38+'TE CVA'!$AB$38)*1*(1-0.03)</f>
        <v>215.13834231240199</v>
      </c>
      <c r="AB210" s="6">
        <f>$K$210*$V$210</f>
        <v>0</v>
      </c>
      <c r="AC210" s="6">
        <f>$M$210*$W$210</f>
        <v>91.052488999999994</v>
      </c>
      <c r="AD210" s="6">
        <f>$O$210*$X$210</f>
        <v>93.106530000000006</v>
      </c>
      <c r="AE210" s="6">
        <f>$K$210*$Y$210</f>
        <v>0</v>
      </c>
      <c r="AF210" s="6">
        <f ca="1">$M$210*$Z$210</f>
        <v>96.346601032592602</v>
      </c>
      <c r="AG210" s="6">
        <f>$O$210*$AA$210</f>
        <v>68.629131197656235</v>
      </c>
    </row>
    <row r="211" spans="1:33" ht="11.25" customHeight="1" x14ac:dyDescent="0.3">
      <c r="A211" s="4" t="s">
        <v>21</v>
      </c>
      <c r="B211" s="4" t="s">
        <v>31</v>
      </c>
      <c r="C211" s="4" t="s">
        <v>23</v>
      </c>
      <c r="D211" s="4" t="s">
        <v>46</v>
      </c>
      <c r="E211" s="4" t="s">
        <v>47</v>
      </c>
      <c r="F211" s="4" t="s">
        <v>25</v>
      </c>
      <c r="G211" s="4" t="s">
        <v>25</v>
      </c>
      <c r="H211" s="4" t="s">
        <v>25</v>
      </c>
      <c r="I211" s="5">
        <v>44713</v>
      </c>
      <c r="J211" s="6">
        <v>0</v>
      </c>
      <c r="K211" s="52">
        <v>0</v>
      </c>
      <c r="L211" s="6">
        <v>0.32600000000000001</v>
      </c>
      <c r="M211" s="52">
        <v>0.32600000000000001</v>
      </c>
      <c r="N211" s="6">
        <v>0.32600000000000001</v>
      </c>
      <c r="O211" s="52">
        <v>0.32600000000000001</v>
      </c>
      <c r="P211" s="6">
        <v>2</v>
      </c>
      <c r="Q211" s="4" t="s">
        <v>26</v>
      </c>
      <c r="R211" s="4">
        <v>0</v>
      </c>
      <c r="S211" s="6">
        <v>0</v>
      </c>
      <c r="T211" s="6">
        <v>32</v>
      </c>
      <c r="U211" s="6">
        <v>55</v>
      </c>
      <c r="V211" s="52">
        <f>IF(ISERROR(VLOOKUP($S$211,'TAR FIN'!$A$1:$O$85,15,0)),0,VLOOKUP($S$211,'TAR FIN'!$A$1:$O$85,15,0))</f>
        <v>0</v>
      </c>
      <c r="W211" s="52">
        <f>IF(ISERROR(VLOOKUP($T$211,'TAR FIN'!$A$1:$O$85,15,0)),0,VLOOKUP($T$211,'TAR FIN'!$A$1:$O$85,15,0))*(1-0.06)</f>
        <v>285.43099999999998</v>
      </c>
      <c r="X211" s="52">
        <f>IF(ISERROR(VLOOKUP($U$211,'TAR FIN'!$A$1:$O$85,15,0)),0,VLOOKUP($U$211,'TAR FIN'!$A$1:$O$85,15,0))*(1-0.06)</f>
        <v>291.87</v>
      </c>
      <c r="Y211" s="52"/>
      <c r="Z211" s="52">
        <f ca="1">('TUSD BE'!$AM$48+'TUSD BF'!$AM$48+'TUSD CVA'!$AM$48)*1*(1-0.03)</f>
        <v>302.02696248461632</v>
      </c>
      <c r="AA211" s="52">
        <f>('TE BE'!$AB$38+'TE BF'!$AB$38+'TE CVA'!$AB$38)*1*(1-0.03)</f>
        <v>215.13834231240199</v>
      </c>
      <c r="AB211" s="6">
        <f>$K$211*$V$211</f>
        <v>0</v>
      </c>
      <c r="AC211" s="6">
        <f>$M$211*$W$211</f>
        <v>93.050505999999999</v>
      </c>
      <c r="AD211" s="6">
        <f>$O$211*$X$211</f>
        <v>95.149619999999999</v>
      </c>
      <c r="AE211" s="6">
        <f>$K$211*$Y$211</f>
        <v>0</v>
      </c>
      <c r="AF211" s="6">
        <f ca="1">$M$211*$Z$211</f>
        <v>98.460789769984927</v>
      </c>
      <c r="AG211" s="6">
        <f>$O$211*$AA$211</f>
        <v>70.135099593843051</v>
      </c>
    </row>
    <row r="212" spans="1:33" ht="11.25" customHeight="1" x14ac:dyDescent="0.3">
      <c r="A212" s="4" t="s">
        <v>21</v>
      </c>
      <c r="B212" s="4" t="s">
        <v>31</v>
      </c>
      <c r="C212" s="4" t="s">
        <v>23</v>
      </c>
      <c r="D212" s="4" t="s">
        <v>46</v>
      </c>
      <c r="E212" s="4" t="s">
        <v>47</v>
      </c>
      <c r="F212" s="4" t="s">
        <v>25</v>
      </c>
      <c r="G212" s="4" t="s">
        <v>25</v>
      </c>
      <c r="H212" s="4" t="s">
        <v>25</v>
      </c>
      <c r="I212" s="5">
        <v>44743</v>
      </c>
      <c r="J212" s="6">
        <v>0</v>
      </c>
      <c r="K212" s="52">
        <v>0</v>
      </c>
      <c r="L212" s="6">
        <v>0.64200000000000002</v>
      </c>
      <c r="M212" s="52">
        <v>0.64200000000000002</v>
      </c>
      <c r="N212" s="6">
        <v>0.64200000000000002</v>
      </c>
      <c r="O212" s="52">
        <v>0.64200000000000002</v>
      </c>
      <c r="P212" s="6">
        <v>2</v>
      </c>
      <c r="Q212" s="4" t="s">
        <v>26</v>
      </c>
      <c r="R212" s="4">
        <v>0</v>
      </c>
      <c r="S212" s="6">
        <v>0</v>
      </c>
      <c r="T212" s="6">
        <v>32</v>
      </c>
      <c r="U212" s="6">
        <v>55</v>
      </c>
      <c r="V212" s="52">
        <f>IF(ISERROR(VLOOKUP($S$212,'TAR FIN'!$A$1:$O$85,15,0)),0,VLOOKUP($S$212,'TAR FIN'!$A$1:$O$85,15,0))</f>
        <v>0</v>
      </c>
      <c r="W212" s="52">
        <f>IF(ISERROR(VLOOKUP($T$212,'TAR FIN'!$A$1:$O$85,15,0)),0,VLOOKUP($T$212,'TAR FIN'!$A$1:$O$85,15,0))*(1-0.06)</f>
        <v>285.43099999999998</v>
      </c>
      <c r="X212" s="52">
        <f>IF(ISERROR(VLOOKUP($U$212,'TAR FIN'!$A$1:$O$85,15,0)),0,VLOOKUP($U$212,'TAR FIN'!$A$1:$O$85,15,0))*(1-0.06)</f>
        <v>291.87</v>
      </c>
      <c r="Y212" s="52"/>
      <c r="Z212" s="52">
        <f ca="1">('TUSD BE'!$AM$48+'TUSD BF'!$AM$48+'TUSD CVA'!$AM$48)*1*(1-0.03)</f>
        <v>302.02696248461632</v>
      </c>
      <c r="AA212" s="52">
        <f>('TE BE'!$AB$38+'TE BF'!$AB$38+'TE CVA'!$AB$38)*1*(1-0.03)</f>
        <v>215.13834231240199</v>
      </c>
      <c r="AB212" s="6">
        <f>$K$212*$V$212</f>
        <v>0</v>
      </c>
      <c r="AC212" s="6">
        <f>$M$212*$W$212</f>
        <v>183.246702</v>
      </c>
      <c r="AD212" s="6">
        <f>$O$212*$X$212</f>
        <v>187.38054</v>
      </c>
      <c r="AE212" s="6">
        <f>$K$212*$Y$212</f>
        <v>0</v>
      </c>
      <c r="AF212" s="6">
        <f ca="1">$M$212*$Z$212</f>
        <v>193.90130991512368</v>
      </c>
      <c r="AG212" s="6">
        <f>$O$212*$AA$212</f>
        <v>138.11881576456207</v>
      </c>
    </row>
    <row r="213" spans="1:33" ht="11.25" customHeight="1" x14ac:dyDescent="0.3">
      <c r="A213" s="4" t="s">
        <v>21</v>
      </c>
      <c r="B213" s="4" t="s">
        <v>31</v>
      </c>
      <c r="C213" s="4" t="s">
        <v>23</v>
      </c>
      <c r="D213" s="4" t="s">
        <v>46</v>
      </c>
      <c r="E213" s="4" t="s">
        <v>47</v>
      </c>
      <c r="F213" s="4" t="s">
        <v>25</v>
      </c>
      <c r="G213" s="4" t="s">
        <v>25</v>
      </c>
      <c r="H213" s="4" t="s">
        <v>25</v>
      </c>
      <c r="I213" s="5">
        <v>44774</v>
      </c>
      <c r="J213" s="6">
        <v>0</v>
      </c>
      <c r="K213" s="52">
        <v>0</v>
      </c>
      <c r="L213" s="6">
        <v>0.52200000000000002</v>
      </c>
      <c r="M213" s="52">
        <v>0.52200000000000002</v>
      </c>
      <c r="N213" s="6">
        <v>0.52200000000000002</v>
      </c>
      <c r="O213" s="52">
        <v>0.52200000000000002</v>
      </c>
      <c r="P213" s="6">
        <v>2</v>
      </c>
      <c r="Q213" s="4" t="s">
        <v>26</v>
      </c>
      <c r="R213" s="4">
        <v>0</v>
      </c>
      <c r="S213" s="6">
        <v>0</v>
      </c>
      <c r="T213" s="6">
        <v>32</v>
      </c>
      <c r="U213" s="6">
        <v>55</v>
      </c>
      <c r="V213" s="52">
        <f>IF(ISERROR(VLOOKUP($S$213,'TAR FIN'!$A$1:$O$85,15,0)),0,VLOOKUP($S$213,'TAR FIN'!$A$1:$O$85,15,0))</f>
        <v>0</v>
      </c>
      <c r="W213" s="52">
        <f>IF(ISERROR(VLOOKUP($T$213,'TAR FIN'!$A$1:$O$85,15,0)),0,VLOOKUP($T$213,'TAR FIN'!$A$1:$O$85,15,0))*(1-0.06)</f>
        <v>285.43099999999998</v>
      </c>
      <c r="X213" s="52">
        <f>IF(ISERROR(VLOOKUP($U$213,'TAR FIN'!$A$1:$O$85,15,0)),0,VLOOKUP($U$213,'TAR FIN'!$A$1:$O$85,15,0))*(1-0.06)</f>
        <v>291.87</v>
      </c>
      <c r="Y213" s="52"/>
      <c r="Z213" s="52">
        <f ca="1">('TUSD BE'!$AM$48+'TUSD BF'!$AM$48+'TUSD CVA'!$AM$48)*1*(1-0.03)</f>
        <v>302.02696248461632</v>
      </c>
      <c r="AA213" s="52">
        <f>('TE BE'!$AB$38+'TE BF'!$AB$38+'TE CVA'!$AB$38)*1*(1-0.03)</f>
        <v>215.13834231240199</v>
      </c>
      <c r="AB213" s="6">
        <f>$K$213*$V$213</f>
        <v>0</v>
      </c>
      <c r="AC213" s="6">
        <f>$M$213*$W$213</f>
        <v>148.99498199999999</v>
      </c>
      <c r="AD213" s="6">
        <f>$O$213*$X$213</f>
        <v>152.35614000000001</v>
      </c>
      <c r="AE213" s="6">
        <f>$K$213*$Y$213</f>
        <v>0</v>
      </c>
      <c r="AF213" s="6">
        <f ca="1">$M$213*$Z$213</f>
        <v>157.65807441696973</v>
      </c>
      <c r="AG213" s="6">
        <f>$O$213*$AA$213</f>
        <v>112.30221468707384</v>
      </c>
    </row>
    <row r="214" spans="1:33" ht="11.25" customHeight="1" x14ac:dyDescent="0.3">
      <c r="A214" s="4" t="s">
        <v>21</v>
      </c>
      <c r="B214" s="4" t="s">
        <v>43</v>
      </c>
      <c r="C214" s="4" t="s">
        <v>23</v>
      </c>
      <c r="D214" s="4" t="s">
        <v>44</v>
      </c>
      <c r="E214" s="4" t="s">
        <v>45</v>
      </c>
      <c r="F214" s="4" t="s">
        <v>25</v>
      </c>
      <c r="G214" s="4" t="s">
        <v>25</v>
      </c>
      <c r="H214" s="4" t="s">
        <v>25</v>
      </c>
      <c r="I214" s="5">
        <v>44440</v>
      </c>
      <c r="J214" s="6">
        <v>0</v>
      </c>
      <c r="K214" s="6">
        <v>0</v>
      </c>
      <c r="L214" s="6">
        <v>20.414000000000001</v>
      </c>
      <c r="M214" s="6">
        <v>20.414000000000001</v>
      </c>
      <c r="N214" s="6">
        <v>20.414000000000001</v>
      </c>
      <c r="O214" s="6">
        <v>20.414000000000001</v>
      </c>
      <c r="P214" s="6">
        <v>1</v>
      </c>
      <c r="Q214" s="4" t="s">
        <v>26</v>
      </c>
      <c r="R214" s="4">
        <v>0</v>
      </c>
      <c r="S214" s="6">
        <v>0</v>
      </c>
      <c r="T214" s="6">
        <v>39</v>
      </c>
      <c r="U214" s="6">
        <v>83</v>
      </c>
      <c r="V214" s="6">
        <f>IF(ISERROR(VLOOKUP($S$214,'TAR FIN'!$A$1:$O$85,15,0)),0,VLOOKUP($S$214,'TAR FIN'!$A$1:$O$85,15,0))</f>
        <v>0</v>
      </c>
      <c r="W214" s="6">
        <f>IF(ISERROR(VLOOKUP($T$214,'TAR FIN'!$A$1:$O$85,15,0)),0,VLOOKUP($T$214,'TAR FIN'!$A$1:$O$85,15,0))</f>
        <v>167.01</v>
      </c>
      <c r="X214" s="6">
        <f>IF(ISERROR(VLOOKUP($U$214,'TAR FIN'!$A$1:$O$85,15,0)),0,VLOOKUP($U$214,'TAR FIN'!$A$1:$O$85,15,0))</f>
        <v>170.77</v>
      </c>
      <c r="Y214" s="6"/>
      <c r="Z214" s="6">
        <f ca="1">('TUSD BE'!$AM$50+'TUSD BF'!$AM$50+'TUSD CVA'!$AM$50)*1</f>
        <v>171.25240140880305</v>
      </c>
      <c r="AA214" s="6">
        <f>('TE BE'!$AB$40+'TE BF'!$AB$40+'TE CVA'!$AB$40)*1</f>
        <v>121.9856580121867</v>
      </c>
      <c r="AB214" s="6">
        <f>$K$214*$V$214</f>
        <v>0</v>
      </c>
      <c r="AC214" s="6">
        <f>$M$214*$W$214</f>
        <v>3409.3421400000002</v>
      </c>
      <c r="AD214" s="6">
        <f>$O$214*$X$214</f>
        <v>3486.0987800000003</v>
      </c>
      <c r="AE214" s="6">
        <f>$K$214*$Y$214</f>
        <v>0</v>
      </c>
      <c r="AF214" s="6">
        <f ca="1">$M$214*$Z$214</f>
        <v>3495.9465223593056</v>
      </c>
      <c r="AG214" s="6">
        <f>$O$214*$AA$214</f>
        <v>2490.2152226607795</v>
      </c>
    </row>
    <row r="215" spans="1:33" ht="11.25" customHeight="1" x14ac:dyDescent="0.3">
      <c r="A215" s="4" t="s">
        <v>21</v>
      </c>
      <c r="B215" s="4" t="s">
        <v>43</v>
      </c>
      <c r="C215" s="4" t="s">
        <v>23</v>
      </c>
      <c r="D215" s="4" t="s">
        <v>44</v>
      </c>
      <c r="E215" s="4" t="s">
        <v>45</v>
      </c>
      <c r="F215" s="4" t="s">
        <v>25</v>
      </c>
      <c r="G215" s="4" t="s">
        <v>25</v>
      </c>
      <c r="H215" s="4" t="s">
        <v>25</v>
      </c>
      <c r="I215" s="5">
        <v>44470</v>
      </c>
      <c r="J215" s="6">
        <v>0</v>
      </c>
      <c r="K215" s="6">
        <v>0</v>
      </c>
      <c r="L215" s="6">
        <v>21.094000000000001</v>
      </c>
      <c r="M215" s="6">
        <v>21.094000000000001</v>
      </c>
      <c r="N215" s="6">
        <v>21.094000000000001</v>
      </c>
      <c r="O215" s="6">
        <v>21.094000000000001</v>
      </c>
      <c r="P215" s="6">
        <v>1</v>
      </c>
      <c r="Q215" s="4" t="s">
        <v>26</v>
      </c>
      <c r="R215" s="4">
        <v>0</v>
      </c>
      <c r="S215" s="6">
        <v>0</v>
      </c>
      <c r="T215" s="6">
        <v>39</v>
      </c>
      <c r="U215" s="6">
        <v>83</v>
      </c>
      <c r="V215" s="6">
        <f>IF(ISERROR(VLOOKUP($S$215,'TAR FIN'!$A$1:$O$85,15,0)),0,VLOOKUP($S$215,'TAR FIN'!$A$1:$O$85,15,0))</f>
        <v>0</v>
      </c>
      <c r="W215" s="6">
        <f>IF(ISERROR(VLOOKUP($T$215,'TAR FIN'!$A$1:$O$85,15,0)),0,VLOOKUP($T$215,'TAR FIN'!$A$1:$O$85,15,0))</f>
        <v>167.01</v>
      </c>
      <c r="X215" s="6">
        <f>IF(ISERROR(VLOOKUP($U$215,'TAR FIN'!$A$1:$O$85,15,0)),0,VLOOKUP($U$215,'TAR FIN'!$A$1:$O$85,15,0))</f>
        <v>170.77</v>
      </c>
      <c r="Y215" s="6"/>
      <c r="Z215" s="6">
        <f ca="1">('TUSD BE'!$AM$50+'TUSD BF'!$AM$50+'TUSD CVA'!$AM$50)*1</f>
        <v>171.25240140880305</v>
      </c>
      <c r="AA215" s="6">
        <f>('TE BE'!$AB$40+'TE BF'!$AB$40+'TE CVA'!$AB$40)*1</f>
        <v>121.9856580121867</v>
      </c>
      <c r="AB215" s="6">
        <f>$K$215*$V$215</f>
        <v>0</v>
      </c>
      <c r="AC215" s="6">
        <f>$M$215*$W$215</f>
        <v>3522.9089399999998</v>
      </c>
      <c r="AD215" s="6">
        <f>$O$215*$X$215</f>
        <v>3602.2223800000006</v>
      </c>
      <c r="AE215" s="6">
        <f>$K$215*$Y$215</f>
        <v>0</v>
      </c>
      <c r="AF215" s="6">
        <f ca="1">$M$215*$Z$215</f>
        <v>3612.3981553172916</v>
      </c>
      <c r="AG215" s="6">
        <f>$O$215*$AA$215</f>
        <v>2573.1654701090665</v>
      </c>
    </row>
    <row r="216" spans="1:33" ht="11.25" customHeight="1" x14ac:dyDescent="0.3">
      <c r="A216" s="4" t="s">
        <v>21</v>
      </c>
      <c r="B216" s="4" t="s">
        <v>43</v>
      </c>
      <c r="C216" s="4" t="s">
        <v>23</v>
      </c>
      <c r="D216" s="4" t="s">
        <v>44</v>
      </c>
      <c r="E216" s="4" t="s">
        <v>45</v>
      </c>
      <c r="F216" s="4" t="s">
        <v>25</v>
      </c>
      <c r="G216" s="4" t="s">
        <v>25</v>
      </c>
      <c r="H216" s="4" t="s">
        <v>25</v>
      </c>
      <c r="I216" s="5">
        <v>44501</v>
      </c>
      <c r="J216" s="6">
        <v>0</v>
      </c>
      <c r="K216" s="6">
        <v>0</v>
      </c>
      <c r="L216" s="6">
        <v>20.414000000000001</v>
      </c>
      <c r="M216" s="6">
        <v>20.414000000000001</v>
      </c>
      <c r="N216" s="6">
        <v>20.414000000000001</v>
      </c>
      <c r="O216" s="6">
        <v>20.414000000000001</v>
      </c>
      <c r="P216" s="6">
        <v>1</v>
      </c>
      <c r="Q216" s="4" t="s">
        <v>26</v>
      </c>
      <c r="R216" s="4">
        <v>0</v>
      </c>
      <c r="S216" s="6">
        <v>0</v>
      </c>
      <c r="T216" s="6">
        <v>39</v>
      </c>
      <c r="U216" s="6">
        <v>83</v>
      </c>
      <c r="V216" s="6">
        <f>IF(ISERROR(VLOOKUP($S$216,'TAR FIN'!$A$1:$O$85,15,0)),0,VLOOKUP($S$216,'TAR FIN'!$A$1:$O$85,15,0))</f>
        <v>0</v>
      </c>
      <c r="W216" s="6">
        <f>IF(ISERROR(VLOOKUP($T$216,'TAR FIN'!$A$1:$O$85,15,0)),0,VLOOKUP($T$216,'TAR FIN'!$A$1:$O$85,15,0))</f>
        <v>167.01</v>
      </c>
      <c r="X216" s="6">
        <f>IF(ISERROR(VLOOKUP($U$216,'TAR FIN'!$A$1:$O$85,15,0)),0,VLOOKUP($U$216,'TAR FIN'!$A$1:$O$85,15,0))</f>
        <v>170.77</v>
      </c>
      <c r="Y216" s="6"/>
      <c r="Z216" s="6">
        <f ca="1">('TUSD BE'!$AM$50+'TUSD BF'!$AM$50+'TUSD CVA'!$AM$50)*1</f>
        <v>171.25240140880305</v>
      </c>
      <c r="AA216" s="6">
        <f>('TE BE'!$AB$40+'TE BF'!$AB$40+'TE CVA'!$AB$40)*1</f>
        <v>121.9856580121867</v>
      </c>
      <c r="AB216" s="6">
        <f>$K$216*$V$216</f>
        <v>0</v>
      </c>
      <c r="AC216" s="6">
        <f>$M$216*$W$216</f>
        <v>3409.3421400000002</v>
      </c>
      <c r="AD216" s="6">
        <f>$O$216*$X$216</f>
        <v>3486.0987800000003</v>
      </c>
      <c r="AE216" s="6">
        <f>$K$216*$Y$216</f>
        <v>0</v>
      </c>
      <c r="AF216" s="6">
        <f ca="1">$M$216*$Z$216</f>
        <v>3495.9465223593056</v>
      </c>
      <c r="AG216" s="6">
        <f>$O$216*$AA$216</f>
        <v>2490.2152226607795</v>
      </c>
    </row>
    <row r="217" spans="1:33" ht="11.25" customHeight="1" x14ac:dyDescent="0.3">
      <c r="A217" s="4" t="s">
        <v>21</v>
      </c>
      <c r="B217" s="4" t="s">
        <v>43</v>
      </c>
      <c r="C217" s="4" t="s">
        <v>23</v>
      </c>
      <c r="D217" s="4" t="s">
        <v>44</v>
      </c>
      <c r="E217" s="4" t="s">
        <v>45</v>
      </c>
      <c r="F217" s="4" t="s">
        <v>25</v>
      </c>
      <c r="G217" s="4" t="s">
        <v>25</v>
      </c>
      <c r="H217" s="4" t="s">
        <v>25</v>
      </c>
      <c r="I217" s="5">
        <v>44531</v>
      </c>
      <c r="J217" s="6">
        <v>0</v>
      </c>
      <c r="K217" s="6">
        <v>0</v>
      </c>
      <c r="L217" s="6">
        <v>21.094000000000001</v>
      </c>
      <c r="M217" s="6">
        <v>21.094000000000001</v>
      </c>
      <c r="N217" s="6">
        <v>21.094000000000001</v>
      </c>
      <c r="O217" s="6">
        <v>21.094000000000001</v>
      </c>
      <c r="P217" s="6">
        <v>1</v>
      </c>
      <c r="Q217" s="4" t="s">
        <v>26</v>
      </c>
      <c r="R217" s="4">
        <v>0</v>
      </c>
      <c r="S217" s="6">
        <v>0</v>
      </c>
      <c r="T217" s="6">
        <v>39</v>
      </c>
      <c r="U217" s="6">
        <v>83</v>
      </c>
      <c r="V217" s="6">
        <f>IF(ISERROR(VLOOKUP($S$217,'TAR FIN'!$A$1:$O$85,15,0)),0,VLOOKUP($S$217,'TAR FIN'!$A$1:$O$85,15,0))</f>
        <v>0</v>
      </c>
      <c r="W217" s="6">
        <f>IF(ISERROR(VLOOKUP($T$217,'TAR FIN'!$A$1:$O$85,15,0)),0,VLOOKUP($T$217,'TAR FIN'!$A$1:$O$85,15,0))</f>
        <v>167.01</v>
      </c>
      <c r="X217" s="6">
        <f>IF(ISERROR(VLOOKUP($U$217,'TAR FIN'!$A$1:$O$85,15,0)),0,VLOOKUP($U$217,'TAR FIN'!$A$1:$O$85,15,0))</f>
        <v>170.77</v>
      </c>
      <c r="Y217" s="6"/>
      <c r="Z217" s="6">
        <f ca="1">('TUSD BE'!$AM$50+'TUSD BF'!$AM$50+'TUSD CVA'!$AM$50)*1</f>
        <v>171.25240140880305</v>
      </c>
      <c r="AA217" s="6">
        <f>('TE BE'!$AB$40+'TE BF'!$AB$40+'TE CVA'!$AB$40)*1</f>
        <v>121.9856580121867</v>
      </c>
      <c r="AB217" s="6">
        <f>$K$217*$V$217</f>
        <v>0</v>
      </c>
      <c r="AC217" s="6">
        <f>$M$217*$W$217</f>
        <v>3522.9089399999998</v>
      </c>
      <c r="AD217" s="6">
        <f>$O$217*$X$217</f>
        <v>3602.2223800000006</v>
      </c>
      <c r="AE217" s="6">
        <f>$K$217*$Y$217</f>
        <v>0</v>
      </c>
      <c r="AF217" s="6">
        <f ca="1">$M$217*$Z$217</f>
        <v>3612.3981553172916</v>
      </c>
      <c r="AG217" s="6">
        <f>$O$217*$AA$217</f>
        <v>2573.1654701090665</v>
      </c>
    </row>
    <row r="218" spans="1:33" ht="11.25" customHeight="1" x14ac:dyDescent="0.3">
      <c r="A218" s="4" t="s">
        <v>21</v>
      </c>
      <c r="B218" s="4" t="s">
        <v>43</v>
      </c>
      <c r="C218" s="4" t="s">
        <v>23</v>
      </c>
      <c r="D218" s="4" t="s">
        <v>44</v>
      </c>
      <c r="E218" s="4" t="s">
        <v>45</v>
      </c>
      <c r="F218" s="4" t="s">
        <v>25</v>
      </c>
      <c r="G218" s="4" t="s">
        <v>25</v>
      </c>
      <c r="H218" s="4" t="s">
        <v>25</v>
      </c>
      <c r="I218" s="5">
        <v>44562</v>
      </c>
      <c r="J218" s="6">
        <v>0</v>
      </c>
      <c r="K218" s="6">
        <v>0</v>
      </c>
      <c r="L218" s="6">
        <v>21.123999999999999</v>
      </c>
      <c r="M218" s="6">
        <v>21.123999999999999</v>
      </c>
      <c r="N218" s="6">
        <v>21.123999999999999</v>
      </c>
      <c r="O218" s="6">
        <v>21.123999999999999</v>
      </c>
      <c r="P218" s="6">
        <v>1</v>
      </c>
      <c r="Q218" s="4" t="s">
        <v>26</v>
      </c>
      <c r="R218" s="4">
        <v>0</v>
      </c>
      <c r="S218" s="6">
        <v>0</v>
      </c>
      <c r="T218" s="6">
        <v>39</v>
      </c>
      <c r="U218" s="6">
        <v>83</v>
      </c>
      <c r="V218" s="6">
        <f>IF(ISERROR(VLOOKUP($S$218,'TAR FIN'!$A$1:$O$85,15,0)),0,VLOOKUP($S$218,'TAR FIN'!$A$1:$O$85,15,0))</f>
        <v>0</v>
      </c>
      <c r="W218" s="6">
        <f>IF(ISERROR(VLOOKUP($T$218,'TAR FIN'!$A$1:$O$85,15,0)),0,VLOOKUP($T$218,'TAR FIN'!$A$1:$O$85,15,0))</f>
        <v>167.01</v>
      </c>
      <c r="X218" s="6">
        <f>IF(ISERROR(VLOOKUP($U$218,'TAR FIN'!$A$1:$O$85,15,0)),0,VLOOKUP($U$218,'TAR FIN'!$A$1:$O$85,15,0))</f>
        <v>170.77</v>
      </c>
      <c r="Y218" s="6"/>
      <c r="Z218" s="6">
        <f ca="1">('TUSD BE'!$AM$50+'TUSD BF'!$AM$50+'TUSD CVA'!$AM$50)*1</f>
        <v>171.25240140880305</v>
      </c>
      <c r="AA218" s="6">
        <f>('TE BE'!$AB$40+'TE BF'!$AB$40+'TE CVA'!$AB$40)*1</f>
        <v>121.9856580121867</v>
      </c>
      <c r="AB218" s="6">
        <f>$K$218*$V$218</f>
        <v>0</v>
      </c>
      <c r="AC218" s="6">
        <f>$M$218*$W$218</f>
        <v>3527.9192399999997</v>
      </c>
      <c r="AD218" s="6">
        <f>$O$218*$X$218</f>
        <v>3607.34548</v>
      </c>
      <c r="AE218" s="6">
        <f>$K$218*$Y$218</f>
        <v>0</v>
      </c>
      <c r="AF218" s="6">
        <f ca="1">$M$218*$Z$218</f>
        <v>3617.5357273595555</v>
      </c>
      <c r="AG218" s="6">
        <f>$O$218*$AA$218</f>
        <v>2576.825039849432</v>
      </c>
    </row>
    <row r="219" spans="1:33" ht="11.25" customHeight="1" x14ac:dyDescent="0.3">
      <c r="A219" s="4" t="s">
        <v>21</v>
      </c>
      <c r="B219" s="4" t="s">
        <v>43</v>
      </c>
      <c r="C219" s="4" t="s">
        <v>23</v>
      </c>
      <c r="D219" s="4" t="s">
        <v>44</v>
      </c>
      <c r="E219" s="4" t="s">
        <v>45</v>
      </c>
      <c r="F219" s="4" t="s">
        <v>25</v>
      </c>
      <c r="G219" s="4" t="s">
        <v>25</v>
      </c>
      <c r="H219" s="4" t="s">
        <v>25</v>
      </c>
      <c r="I219" s="5">
        <v>44593</v>
      </c>
      <c r="J219" s="6">
        <v>0</v>
      </c>
      <c r="K219" s="6">
        <v>0</v>
      </c>
      <c r="L219" s="6">
        <v>19.079999999999998</v>
      </c>
      <c r="M219" s="6">
        <v>19.079999999999998</v>
      </c>
      <c r="N219" s="6">
        <v>19.079999999999998</v>
      </c>
      <c r="O219" s="6">
        <v>19.079999999999998</v>
      </c>
      <c r="P219" s="6">
        <v>1</v>
      </c>
      <c r="Q219" s="4" t="s">
        <v>26</v>
      </c>
      <c r="R219" s="4">
        <v>0</v>
      </c>
      <c r="S219" s="6">
        <v>0</v>
      </c>
      <c r="T219" s="6">
        <v>39</v>
      </c>
      <c r="U219" s="6">
        <v>83</v>
      </c>
      <c r="V219" s="6">
        <f>IF(ISERROR(VLOOKUP($S$219,'TAR FIN'!$A$1:$O$85,15,0)),0,VLOOKUP($S$219,'TAR FIN'!$A$1:$O$85,15,0))</f>
        <v>0</v>
      </c>
      <c r="W219" s="6">
        <f>IF(ISERROR(VLOOKUP($T$219,'TAR FIN'!$A$1:$O$85,15,0)),0,VLOOKUP($T$219,'TAR FIN'!$A$1:$O$85,15,0))</f>
        <v>167.01</v>
      </c>
      <c r="X219" s="6">
        <f>IF(ISERROR(VLOOKUP($U$219,'TAR FIN'!$A$1:$O$85,15,0)),0,VLOOKUP($U$219,'TAR FIN'!$A$1:$O$85,15,0))</f>
        <v>170.77</v>
      </c>
      <c r="Y219" s="6"/>
      <c r="Z219" s="6">
        <f ca="1">('TUSD BE'!$AM$50+'TUSD BF'!$AM$50+'TUSD CVA'!$AM$50)*1</f>
        <v>171.25240140880305</v>
      </c>
      <c r="AA219" s="6">
        <f>('TE BE'!$AB$40+'TE BF'!$AB$40+'TE CVA'!$AB$40)*1</f>
        <v>121.9856580121867</v>
      </c>
      <c r="AB219" s="6">
        <f>$K$219*$V$219</f>
        <v>0</v>
      </c>
      <c r="AC219" s="6">
        <f>$M$219*$W$219</f>
        <v>3186.5507999999995</v>
      </c>
      <c r="AD219" s="6">
        <f>$O$219*$X$219</f>
        <v>3258.2916</v>
      </c>
      <c r="AE219" s="6">
        <f>$K$219*$Y$219</f>
        <v>0</v>
      </c>
      <c r="AF219" s="6">
        <f ca="1">$M$219*$Z$219</f>
        <v>3267.4958188799619</v>
      </c>
      <c r="AG219" s="6">
        <f>$O$219*$AA$219</f>
        <v>2327.486354872522</v>
      </c>
    </row>
    <row r="220" spans="1:33" ht="11.25" customHeight="1" x14ac:dyDescent="0.3">
      <c r="A220" s="4" t="s">
        <v>21</v>
      </c>
      <c r="B220" s="4" t="s">
        <v>43</v>
      </c>
      <c r="C220" s="4" t="s">
        <v>23</v>
      </c>
      <c r="D220" s="4" t="s">
        <v>44</v>
      </c>
      <c r="E220" s="4" t="s">
        <v>45</v>
      </c>
      <c r="F220" s="4" t="s">
        <v>25</v>
      </c>
      <c r="G220" s="4" t="s">
        <v>25</v>
      </c>
      <c r="H220" s="4" t="s">
        <v>25</v>
      </c>
      <c r="I220" s="5">
        <v>44621</v>
      </c>
      <c r="J220" s="6">
        <v>0</v>
      </c>
      <c r="K220" s="6">
        <v>0</v>
      </c>
      <c r="L220" s="6">
        <v>21.184000000000001</v>
      </c>
      <c r="M220" s="6">
        <v>21.184000000000001</v>
      </c>
      <c r="N220" s="6">
        <v>21.184000000000001</v>
      </c>
      <c r="O220" s="6">
        <v>21.184000000000001</v>
      </c>
      <c r="P220" s="6">
        <v>1</v>
      </c>
      <c r="Q220" s="4" t="s">
        <v>26</v>
      </c>
      <c r="R220" s="4">
        <v>0</v>
      </c>
      <c r="S220" s="6">
        <v>0</v>
      </c>
      <c r="T220" s="6">
        <v>39</v>
      </c>
      <c r="U220" s="6">
        <v>83</v>
      </c>
      <c r="V220" s="6">
        <f>IF(ISERROR(VLOOKUP($S$220,'TAR FIN'!$A$1:$O$85,15,0)),0,VLOOKUP($S$220,'TAR FIN'!$A$1:$O$85,15,0))</f>
        <v>0</v>
      </c>
      <c r="W220" s="6">
        <f>IF(ISERROR(VLOOKUP($T$220,'TAR FIN'!$A$1:$O$85,15,0)),0,VLOOKUP($T$220,'TAR FIN'!$A$1:$O$85,15,0))</f>
        <v>167.01</v>
      </c>
      <c r="X220" s="6">
        <f>IF(ISERROR(VLOOKUP($U$220,'TAR FIN'!$A$1:$O$85,15,0)),0,VLOOKUP($U$220,'TAR FIN'!$A$1:$O$85,15,0))</f>
        <v>170.77</v>
      </c>
      <c r="Y220" s="6"/>
      <c r="Z220" s="6">
        <f ca="1">('TUSD BE'!$AM$50+'TUSD BF'!$AM$50+'TUSD CVA'!$AM$50)*1</f>
        <v>171.25240140880305</v>
      </c>
      <c r="AA220" s="6">
        <f>('TE BE'!$AB$40+'TE BF'!$AB$40+'TE CVA'!$AB$40)*1</f>
        <v>121.9856580121867</v>
      </c>
      <c r="AB220" s="6">
        <f>$K$220*$V$220</f>
        <v>0</v>
      </c>
      <c r="AC220" s="6">
        <f>$M$220*$W$220</f>
        <v>3537.93984</v>
      </c>
      <c r="AD220" s="6">
        <f>$O$220*$X$220</f>
        <v>3617.5916800000005</v>
      </c>
      <c r="AE220" s="6">
        <f>$K$220*$Y$220</f>
        <v>0</v>
      </c>
      <c r="AF220" s="6">
        <f ca="1">$M$220*$Z$220</f>
        <v>3627.8108714440841</v>
      </c>
      <c r="AG220" s="6">
        <f>$O$220*$AA$220</f>
        <v>2584.1441793301633</v>
      </c>
    </row>
    <row r="221" spans="1:33" ht="11.25" customHeight="1" x14ac:dyDescent="0.3">
      <c r="A221" s="4" t="s">
        <v>21</v>
      </c>
      <c r="B221" s="4" t="s">
        <v>43</v>
      </c>
      <c r="C221" s="4" t="s">
        <v>23</v>
      </c>
      <c r="D221" s="4" t="s">
        <v>44</v>
      </c>
      <c r="E221" s="4" t="s">
        <v>45</v>
      </c>
      <c r="F221" s="4" t="s">
        <v>25</v>
      </c>
      <c r="G221" s="4" t="s">
        <v>25</v>
      </c>
      <c r="H221" s="4" t="s">
        <v>25</v>
      </c>
      <c r="I221" s="5">
        <v>44652</v>
      </c>
      <c r="J221" s="6">
        <v>0</v>
      </c>
      <c r="K221" s="6">
        <v>0</v>
      </c>
      <c r="L221" s="6">
        <v>20.5</v>
      </c>
      <c r="M221" s="6">
        <v>20.5</v>
      </c>
      <c r="N221" s="6">
        <v>20.5</v>
      </c>
      <c r="O221" s="6">
        <v>20.5</v>
      </c>
      <c r="P221" s="6">
        <v>1</v>
      </c>
      <c r="Q221" s="4" t="s">
        <v>26</v>
      </c>
      <c r="R221" s="4">
        <v>0</v>
      </c>
      <c r="S221" s="6">
        <v>0</v>
      </c>
      <c r="T221" s="6">
        <v>39</v>
      </c>
      <c r="U221" s="6">
        <v>83</v>
      </c>
      <c r="V221" s="6">
        <f>IF(ISERROR(VLOOKUP($S$221,'TAR FIN'!$A$1:$O$85,15,0)),0,VLOOKUP($S$221,'TAR FIN'!$A$1:$O$85,15,0))</f>
        <v>0</v>
      </c>
      <c r="W221" s="6">
        <f>IF(ISERROR(VLOOKUP($T$221,'TAR FIN'!$A$1:$O$85,15,0)),0,VLOOKUP($T$221,'TAR FIN'!$A$1:$O$85,15,0))</f>
        <v>167.01</v>
      </c>
      <c r="X221" s="6">
        <f>IF(ISERROR(VLOOKUP($U$221,'TAR FIN'!$A$1:$O$85,15,0)),0,VLOOKUP($U$221,'TAR FIN'!$A$1:$O$85,15,0))</f>
        <v>170.77</v>
      </c>
      <c r="Y221" s="6"/>
      <c r="Z221" s="6">
        <f ca="1">('TUSD BE'!$AM$50+'TUSD BF'!$AM$50+'TUSD CVA'!$AM$50)*1</f>
        <v>171.25240140880305</v>
      </c>
      <c r="AA221" s="6">
        <f>('TE BE'!$AB$40+'TE BF'!$AB$40+'TE CVA'!$AB$40)*1</f>
        <v>121.9856580121867</v>
      </c>
      <c r="AB221" s="6">
        <f>$K$221*$V$221</f>
        <v>0</v>
      </c>
      <c r="AC221" s="6">
        <f>$M$221*$W$221</f>
        <v>3423.7049999999999</v>
      </c>
      <c r="AD221" s="6">
        <f>$O$221*$X$221</f>
        <v>3500.7850000000003</v>
      </c>
      <c r="AE221" s="6">
        <f>$K$221*$Y$221</f>
        <v>0</v>
      </c>
      <c r="AF221" s="6">
        <f ca="1">$M$221*$Z$221</f>
        <v>3510.6742288804626</v>
      </c>
      <c r="AG221" s="6">
        <f>$O$221*$AA$221</f>
        <v>2500.7059892498273</v>
      </c>
    </row>
    <row r="222" spans="1:33" ht="11.25" customHeight="1" x14ac:dyDescent="0.3">
      <c r="A222" s="4" t="s">
        <v>21</v>
      </c>
      <c r="B222" s="4" t="s">
        <v>43</v>
      </c>
      <c r="C222" s="4" t="s">
        <v>23</v>
      </c>
      <c r="D222" s="4" t="s">
        <v>44</v>
      </c>
      <c r="E222" s="4" t="s">
        <v>45</v>
      </c>
      <c r="F222" s="4" t="s">
        <v>25</v>
      </c>
      <c r="G222" s="4" t="s">
        <v>25</v>
      </c>
      <c r="H222" s="4" t="s">
        <v>25</v>
      </c>
      <c r="I222" s="5">
        <v>44682</v>
      </c>
      <c r="J222" s="6">
        <v>0</v>
      </c>
      <c r="K222" s="6">
        <v>0</v>
      </c>
      <c r="L222" s="6">
        <v>21.184000000000001</v>
      </c>
      <c r="M222" s="6">
        <v>21.184000000000001</v>
      </c>
      <c r="N222" s="6">
        <v>21.184000000000001</v>
      </c>
      <c r="O222" s="6">
        <v>21.184000000000001</v>
      </c>
      <c r="P222" s="6">
        <v>1</v>
      </c>
      <c r="Q222" s="4" t="s">
        <v>26</v>
      </c>
      <c r="R222" s="4">
        <v>0</v>
      </c>
      <c r="S222" s="6">
        <v>0</v>
      </c>
      <c r="T222" s="6">
        <v>39</v>
      </c>
      <c r="U222" s="6">
        <v>83</v>
      </c>
      <c r="V222" s="6">
        <f>IF(ISERROR(VLOOKUP($S$222,'TAR FIN'!$A$1:$O$85,15,0)),0,VLOOKUP($S$222,'TAR FIN'!$A$1:$O$85,15,0))</f>
        <v>0</v>
      </c>
      <c r="W222" s="6">
        <f>IF(ISERROR(VLOOKUP($T$222,'TAR FIN'!$A$1:$O$85,15,0)),0,VLOOKUP($T$222,'TAR FIN'!$A$1:$O$85,15,0))</f>
        <v>167.01</v>
      </c>
      <c r="X222" s="6">
        <f>IF(ISERROR(VLOOKUP($U$222,'TAR FIN'!$A$1:$O$85,15,0)),0,VLOOKUP($U$222,'TAR FIN'!$A$1:$O$85,15,0))</f>
        <v>170.77</v>
      </c>
      <c r="Y222" s="6"/>
      <c r="Z222" s="6">
        <f ca="1">('TUSD BE'!$AM$50+'TUSD BF'!$AM$50+'TUSD CVA'!$AM$50)*1</f>
        <v>171.25240140880305</v>
      </c>
      <c r="AA222" s="6">
        <f>('TE BE'!$AB$40+'TE BF'!$AB$40+'TE CVA'!$AB$40)*1</f>
        <v>121.9856580121867</v>
      </c>
      <c r="AB222" s="6">
        <f>$K$222*$V$222</f>
        <v>0</v>
      </c>
      <c r="AC222" s="6">
        <f>$M$222*$W$222</f>
        <v>3537.93984</v>
      </c>
      <c r="AD222" s="6">
        <f>$O$222*$X$222</f>
        <v>3617.5916800000005</v>
      </c>
      <c r="AE222" s="6">
        <f>$K$222*$Y$222</f>
        <v>0</v>
      </c>
      <c r="AF222" s="6">
        <f ca="1">$M$222*$Z$222</f>
        <v>3627.8108714440841</v>
      </c>
      <c r="AG222" s="6">
        <f>$O$222*$AA$222</f>
        <v>2584.1441793301633</v>
      </c>
    </row>
    <row r="223" spans="1:33" ht="11.25" customHeight="1" x14ac:dyDescent="0.3">
      <c r="A223" s="4" t="s">
        <v>21</v>
      </c>
      <c r="B223" s="4" t="s">
        <v>43</v>
      </c>
      <c r="C223" s="4" t="s">
        <v>23</v>
      </c>
      <c r="D223" s="4" t="s">
        <v>44</v>
      </c>
      <c r="E223" s="4" t="s">
        <v>45</v>
      </c>
      <c r="F223" s="4" t="s">
        <v>25</v>
      </c>
      <c r="G223" s="4" t="s">
        <v>25</v>
      </c>
      <c r="H223" s="4" t="s">
        <v>25</v>
      </c>
      <c r="I223" s="5">
        <v>44713</v>
      </c>
      <c r="J223" s="6">
        <v>0</v>
      </c>
      <c r="K223" s="6">
        <v>0</v>
      </c>
      <c r="L223" s="6">
        <v>20.5</v>
      </c>
      <c r="M223" s="6">
        <v>20.5</v>
      </c>
      <c r="N223" s="6">
        <v>20.5</v>
      </c>
      <c r="O223" s="6">
        <v>20.5</v>
      </c>
      <c r="P223" s="6">
        <v>1</v>
      </c>
      <c r="Q223" s="4" t="s">
        <v>26</v>
      </c>
      <c r="R223" s="4">
        <v>0</v>
      </c>
      <c r="S223" s="6">
        <v>0</v>
      </c>
      <c r="T223" s="6">
        <v>39</v>
      </c>
      <c r="U223" s="6">
        <v>83</v>
      </c>
      <c r="V223" s="6">
        <f>IF(ISERROR(VLOOKUP($S$223,'TAR FIN'!$A$1:$O$85,15,0)),0,VLOOKUP($S$223,'TAR FIN'!$A$1:$O$85,15,0))</f>
        <v>0</v>
      </c>
      <c r="W223" s="6">
        <f>IF(ISERROR(VLOOKUP($T$223,'TAR FIN'!$A$1:$O$85,15,0)),0,VLOOKUP($T$223,'TAR FIN'!$A$1:$O$85,15,0))</f>
        <v>167.01</v>
      </c>
      <c r="X223" s="6">
        <f>IF(ISERROR(VLOOKUP($U$223,'TAR FIN'!$A$1:$O$85,15,0)),0,VLOOKUP($U$223,'TAR FIN'!$A$1:$O$85,15,0))</f>
        <v>170.77</v>
      </c>
      <c r="Y223" s="6"/>
      <c r="Z223" s="6">
        <f ca="1">('TUSD BE'!$AM$50+'TUSD BF'!$AM$50+'TUSD CVA'!$AM$50)*1</f>
        <v>171.25240140880305</v>
      </c>
      <c r="AA223" s="6">
        <f>('TE BE'!$AB$40+'TE BF'!$AB$40+'TE CVA'!$AB$40)*1</f>
        <v>121.9856580121867</v>
      </c>
      <c r="AB223" s="6">
        <f>$K$223*$V$223</f>
        <v>0</v>
      </c>
      <c r="AC223" s="6">
        <f>$M$223*$W$223</f>
        <v>3423.7049999999999</v>
      </c>
      <c r="AD223" s="6">
        <f>$O$223*$X$223</f>
        <v>3500.7850000000003</v>
      </c>
      <c r="AE223" s="6">
        <f>$K$223*$Y$223</f>
        <v>0</v>
      </c>
      <c r="AF223" s="6">
        <f ca="1">$M$223*$Z$223</f>
        <v>3510.6742288804626</v>
      </c>
      <c r="AG223" s="6">
        <f>$O$223*$AA$223</f>
        <v>2500.7059892498273</v>
      </c>
    </row>
    <row r="224" spans="1:33" ht="11.25" customHeight="1" x14ac:dyDescent="0.3">
      <c r="A224" s="4" t="s">
        <v>21</v>
      </c>
      <c r="B224" s="4" t="s">
        <v>43</v>
      </c>
      <c r="C224" s="4" t="s">
        <v>23</v>
      </c>
      <c r="D224" s="4" t="s">
        <v>44</v>
      </c>
      <c r="E224" s="4" t="s">
        <v>45</v>
      </c>
      <c r="F224" s="4" t="s">
        <v>25</v>
      </c>
      <c r="G224" s="4" t="s">
        <v>25</v>
      </c>
      <c r="H224" s="4" t="s">
        <v>25</v>
      </c>
      <c r="I224" s="5">
        <v>44743</v>
      </c>
      <c r="J224" s="6">
        <v>0</v>
      </c>
      <c r="K224" s="6">
        <v>0</v>
      </c>
      <c r="L224" s="6">
        <v>21.538</v>
      </c>
      <c r="M224" s="6">
        <v>21.538</v>
      </c>
      <c r="N224" s="6">
        <v>21.538</v>
      </c>
      <c r="O224" s="6">
        <v>21.538</v>
      </c>
      <c r="P224" s="6">
        <v>1</v>
      </c>
      <c r="Q224" s="4" t="s">
        <v>26</v>
      </c>
      <c r="R224" s="4">
        <v>0</v>
      </c>
      <c r="S224" s="6">
        <v>0</v>
      </c>
      <c r="T224" s="6">
        <v>39</v>
      </c>
      <c r="U224" s="6">
        <v>83</v>
      </c>
      <c r="V224" s="6">
        <f>IF(ISERROR(VLOOKUP($S$224,'TAR FIN'!$A$1:$O$85,15,0)),0,VLOOKUP($S$224,'TAR FIN'!$A$1:$O$85,15,0))</f>
        <v>0</v>
      </c>
      <c r="W224" s="6">
        <f>IF(ISERROR(VLOOKUP($T$224,'TAR FIN'!$A$1:$O$85,15,0)),0,VLOOKUP($T$224,'TAR FIN'!$A$1:$O$85,15,0))</f>
        <v>167.01</v>
      </c>
      <c r="X224" s="6">
        <f>IF(ISERROR(VLOOKUP($U$224,'TAR FIN'!$A$1:$O$85,15,0)),0,VLOOKUP($U$224,'TAR FIN'!$A$1:$O$85,15,0))</f>
        <v>170.77</v>
      </c>
      <c r="Y224" s="6"/>
      <c r="Z224" s="6">
        <f ca="1">('TUSD BE'!$AM$50+'TUSD BF'!$AM$50+'TUSD CVA'!$AM$50)*1</f>
        <v>171.25240140880305</v>
      </c>
      <c r="AA224" s="6">
        <f>('TE BE'!$AB$40+'TE BF'!$AB$40+'TE CVA'!$AB$40)*1</f>
        <v>121.9856580121867</v>
      </c>
      <c r="AB224" s="6">
        <f>$K$224*$V$224</f>
        <v>0</v>
      </c>
      <c r="AC224" s="6">
        <f>$M$224*$W$224</f>
        <v>3597.0613799999996</v>
      </c>
      <c r="AD224" s="6">
        <f>$O$224*$X$224</f>
        <v>3678.0442600000001</v>
      </c>
      <c r="AE224" s="6">
        <f>$K$224*$Y$224</f>
        <v>0</v>
      </c>
      <c r="AF224" s="6">
        <f ca="1">$M$224*$Z$224</f>
        <v>3688.4342215428001</v>
      </c>
      <c r="AG224" s="6">
        <f>$O$224*$AA$224</f>
        <v>2627.3271022664771</v>
      </c>
    </row>
    <row r="225" spans="1:33" ht="11.25" customHeight="1" x14ac:dyDescent="0.3">
      <c r="A225" s="4" t="s">
        <v>21</v>
      </c>
      <c r="B225" s="4" t="s">
        <v>43</v>
      </c>
      <c r="C225" s="4" t="s">
        <v>23</v>
      </c>
      <c r="D225" s="4" t="s">
        <v>44</v>
      </c>
      <c r="E225" s="4" t="s">
        <v>45</v>
      </c>
      <c r="F225" s="4" t="s">
        <v>25</v>
      </c>
      <c r="G225" s="4" t="s">
        <v>25</v>
      </c>
      <c r="H225" s="4" t="s">
        <v>25</v>
      </c>
      <c r="I225" s="5">
        <v>44774</v>
      </c>
      <c r="J225" s="6">
        <v>0</v>
      </c>
      <c r="K225" s="6">
        <v>0</v>
      </c>
      <c r="L225" s="6">
        <v>21.538</v>
      </c>
      <c r="M225" s="6">
        <v>21.538</v>
      </c>
      <c r="N225" s="6">
        <v>21.538</v>
      </c>
      <c r="O225" s="6">
        <v>21.538</v>
      </c>
      <c r="P225" s="6">
        <v>1</v>
      </c>
      <c r="Q225" s="4" t="s">
        <v>26</v>
      </c>
      <c r="R225" s="4">
        <v>0</v>
      </c>
      <c r="S225" s="6">
        <v>0</v>
      </c>
      <c r="T225" s="6">
        <v>39</v>
      </c>
      <c r="U225" s="6">
        <v>83</v>
      </c>
      <c r="V225" s="6">
        <f>IF(ISERROR(VLOOKUP($S$225,'TAR FIN'!$A$1:$O$85,15,0)),0,VLOOKUP($S$225,'TAR FIN'!$A$1:$O$85,15,0))</f>
        <v>0</v>
      </c>
      <c r="W225" s="6">
        <f>IF(ISERROR(VLOOKUP($T$225,'TAR FIN'!$A$1:$O$85,15,0)),0,VLOOKUP($T$225,'TAR FIN'!$A$1:$O$85,15,0))</f>
        <v>167.01</v>
      </c>
      <c r="X225" s="6">
        <f>IF(ISERROR(VLOOKUP($U$225,'TAR FIN'!$A$1:$O$85,15,0)),0,VLOOKUP($U$225,'TAR FIN'!$A$1:$O$85,15,0))</f>
        <v>170.77</v>
      </c>
      <c r="Y225" s="6"/>
      <c r="Z225" s="6">
        <f ca="1">('TUSD BE'!$AM$50+'TUSD BF'!$AM$50+'TUSD CVA'!$AM$50)*1</f>
        <v>171.25240140880305</v>
      </c>
      <c r="AA225" s="6">
        <f>('TE BE'!$AB$40+'TE BF'!$AB$40+'TE CVA'!$AB$40)*1</f>
        <v>121.9856580121867</v>
      </c>
      <c r="AB225" s="6">
        <f>$K$225*$V$225</f>
        <v>0</v>
      </c>
      <c r="AC225" s="6">
        <f>$M$225*$W$225</f>
        <v>3597.0613799999996</v>
      </c>
      <c r="AD225" s="6">
        <f>$O$225*$X$225</f>
        <v>3678.0442600000001</v>
      </c>
      <c r="AE225" s="6">
        <f>$K$225*$Y$225</f>
        <v>0</v>
      </c>
      <c r="AF225" s="6">
        <f ca="1">$M$225*$Z$225</f>
        <v>3688.4342215428001</v>
      </c>
      <c r="AG225" s="6">
        <f>$O$225*$AA$225</f>
        <v>2627.3271022664771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9B67-3D82-4344-B363-F4BAA6A769E5}">
  <dimension ref="A1:AJ226"/>
  <sheetViews>
    <sheetView showGridLines="0" topLeftCell="AD1" workbookViewId="0">
      <selection activeCell="AJ13" sqref="AJ13"/>
    </sheetView>
  </sheetViews>
  <sheetFormatPr defaultRowHeight="11.25" customHeight="1" x14ac:dyDescent="0.3"/>
  <cols>
    <col min="1" max="1" width="18" style="4" bestFit="1" customWidth="1"/>
    <col min="2" max="2" width="12.109375" style="4" bestFit="1" customWidth="1"/>
    <col min="3" max="3" width="13.5546875" style="4" bestFit="1" customWidth="1"/>
    <col min="4" max="4" width="10.44140625" style="4" bestFit="1" customWidth="1"/>
    <col min="5" max="5" width="23.109375" style="4" bestFit="1" customWidth="1"/>
    <col min="6" max="6" width="12.88671875" style="4" bestFit="1" customWidth="1"/>
    <col min="7" max="7" width="10.21875" style="4" bestFit="1" customWidth="1"/>
    <col min="8" max="8" width="9.5546875" style="4" bestFit="1" customWidth="1"/>
    <col min="9" max="9" width="10.77734375" style="5" bestFit="1" customWidth="1"/>
    <col min="10" max="10" width="6.21875" style="6" bestFit="1" customWidth="1"/>
    <col min="11" max="11" width="7.5546875" style="6" bestFit="1" customWidth="1"/>
    <col min="12" max="12" width="10.77734375" style="6" bestFit="1" customWidth="1"/>
    <col min="13" max="13" width="12.109375" style="6" bestFit="1" customWidth="1"/>
    <col min="14" max="14" width="8.6640625" style="6" bestFit="1" customWidth="1"/>
    <col min="15" max="15" width="10" style="6" bestFit="1" customWidth="1"/>
    <col min="16" max="16" width="7.21875" style="6" bestFit="1" customWidth="1"/>
    <col min="17" max="17" width="10.44140625" style="4" bestFit="1" customWidth="1"/>
    <col min="18" max="18" width="12.44140625" style="4" bestFit="1" customWidth="1"/>
    <col min="19" max="19" width="21.88671875" style="4" bestFit="1" customWidth="1"/>
    <col min="20" max="20" width="23.21875" style="4" bestFit="1" customWidth="1"/>
    <col min="21" max="21" width="21" style="4" bestFit="1" customWidth="1"/>
    <col min="22" max="22" width="14.88671875" style="4" bestFit="1" customWidth="1"/>
    <col min="23" max="23" width="16.21875" style="4" bestFit="1" customWidth="1"/>
    <col min="24" max="24" width="14.109375" style="4" bestFit="1" customWidth="1"/>
    <col min="25" max="25" width="19.5546875" style="4" bestFit="1" customWidth="1"/>
    <col min="26" max="26" width="20.88671875" style="4" bestFit="1" customWidth="1"/>
    <col min="27" max="27" width="18.77734375" style="4" bestFit="1" customWidth="1"/>
    <col min="28" max="28" width="18.21875" style="4" bestFit="1" customWidth="1"/>
    <col min="29" max="29" width="19.5546875" style="4" bestFit="1" customWidth="1"/>
    <col min="30" max="30" width="18.21875" style="4" bestFit="1" customWidth="1"/>
    <col min="31" max="31" width="19.5546875" style="4" bestFit="1" customWidth="1"/>
    <col min="32" max="32" width="31.6640625" style="4" bestFit="1" customWidth="1"/>
    <col min="33" max="33" width="8.88671875" style="4"/>
    <col min="34" max="34" width="31.6640625" style="4" bestFit="1" customWidth="1"/>
    <col min="35" max="35" width="8.44140625" style="4" bestFit="1" customWidth="1"/>
    <col min="36" max="36" width="10.5546875" style="4" bestFit="1" customWidth="1"/>
    <col min="37" max="16384" width="8.88671875" style="4"/>
  </cols>
  <sheetData>
    <row r="1" spans="1:36" s="1" customFormat="1" ht="11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517</v>
      </c>
      <c r="W1" s="1" t="s">
        <v>518</v>
      </c>
      <c r="X1" s="1" t="s">
        <v>519</v>
      </c>
      <c r="Y1" s="1" t="s">
        <v>520</v>
      </c>
      <c r="Z1" s="1" t="s">
        <v>521</v>
      </c>
      <c r="AA1" s="1" t="s">
        <v>522</v>
      </c>
      <c r="AB1" s="1" t="s">
        <v>564</v>
      </c>
      <c r="AC1" s="1" t="s">
        <v>565</v>
      </c>
      <c r="AD1" s="1" t="s">
        <v>566</v>
      </c>
      <c r="AE1" s="1" t="s">
        <v>567</v>
      </c>
      <c r="AF1" s="1" t="s">
        <v>568</v>
      </c>
      <c r="AH1" s="34" t="s">
        <v>568</v>
      </c>
      <c r="AI1" s="34" t="s">
        <v>573</v>
      </c>
      <c r="AJ1" s="34" t="s">
        <v>574</v>
      </c>
    </row>
    <row r="2" spans="1:36" ht="11.25" customHeight="1" x14ac:dyDescent="0.3">
      <c r="A2" s="4" t="s">
        <v>21</v>
      </c>
      <c r="B2" s="4" t="s">
        <v>22</v>
      </c>
      <c r="C2" s="4" t="s">
        <v>23</v>
      </c>
      <c r="D2" s="4" t="s">
        <v>24</v>
      </c>
      <c r="E2" s="4" t="s">
        <v>24</v>
      </c>
      <c r="F2" s="4" t="s">
        <v>25</v>
      </c>
      <c r="G2" s="4" t="s">
        <v>25</v>
      </c>
      <c r="H2" s="4" t="s">
        <v>25</v>
      </c>
      <c r="I2" s="5">
        <v>44440</v>
      </c>
      <c r="J2" s="6">
        <v>0</v>
      </c>
      <c r="K2" s="6">
        <v>0</v>
      </c>
      <c r="L2" s="6">
        <v>38.773000000000003</v>
      </c>
      <c r="M2" s="6">
        <v>38.773000000000003</v>
      </c>
      <c r="N2" s="6">
        <v>38.773000000000003</v>
      </c>
      <c r="O2" s="6">
        <v>38.773000000000003</v>
      </c>
      <c r="P2" s="6">
        <v>263</v>
      </c>
      <c r="Q2" s="4" t="s">
        <v>26</v>
      </c>
      <c r="R2" s="4">
        <v>0</v>
      </c>
      <c r="S2" s="4">
        <v>0</v>
      </c>
      <c r="T2" s="4">
        <v>20</v>
      </c>
      <c r="U2" s="4">
        <v>37</v>
      </c>
      <c r="V2" s="6">
        <f>IF(ISERROR(VLOOKUP($S$2,'TAR FIN'!$A$1:$O$85,15,0)),0,VLOOKUP($S$2,'TAR FIN'!$A$1:$O$85,15,0))</f>
        <v>0</v>
      </c>
      <c r="W2" s="6">
        <f>IF(ISERROR(VLOOKUP($T$2,'TAR FIN'!$A$1:$O$85,15,0)),0,VLOOKUP($T$2,'TAR FIN'!$A$1:$O$85,15,0))</f>
        <v>303.64999999999998</v>
      </c>
      <c r="X2" s="6">
        <f>IF(ISERROR(VLOOKUP($U$2,'TAR FIN'!$A$1:$O$85,15,0)),0,VLOOKUP($U$2,'TAR FIN'!$A$1:$O$85,15,0))</f>
        <v>310.5</v>
      </c>
      <c r="Y2" s="6"/>
      <c r="Z2" s="6">
        <f ca="1">('TUSD BE'!$AM$20+'TUSD BF'!$AM$20+'TUSD CVA'!$AM$20)*1</f>
        <v>311.36800256146012</v>
      </c>
      <c r="AA2" s="6">
        <f>('TE BE'!$AB$10+'TE BF'!$AB$10+'TE CVA'!$AB$10)*1</f>
        <v>221.79210547670309</v>
      </c>
      <c r="AB2" s="6">
        <f t="shared" ref="AB2:AB33" si="0">(J2-K2)*V2</f>
        <v>0</v>
      </c>
      <c r="AC2" s="6">
        <f>(L2-M2)*W2+(N2-O2)*X2</f>
        <v>0</v>
      </c>
      <c r="AD2" s="6">
        <f t="shared" ref="AD2:AD33" si="1">(J2-K2)*Y2</f>
        <v>0</v>
      </c>
      <c r="AE2" s="6">
        <f ca="1">(L2-M2)*Z2+(N2-O2)*AA2</f>
        <v>0</v>
      </c>
      <c r="AH2" s="35" t="s">
        <v>575</v>
      </c>
      <c r="AI2" s="36">
        <f t="shared" ref="AI2:AI9" si="2">SUMIF($AF$2:$AF$226,AH2,$AB$2:$AB$226)+SUMIF($AF$2:$AF$226,AH2,$AC$2:$AC$226)</f>
        <v>0</v>
      </c>
      <c r="AJ2" s="36">
        <f t="shared" ref="AJ2:AJ9" si="3">SUMIF($AF$2:$AF$226,AH2,$AD$2:$AD$226)+SUMIF($AF$2:$AF$226,AH2,$AE$2:$AE$226)</f>
        <v>0</v>
      </c>
    </row>
    <row r="3" spans="1:36" ht="11.25" customHeight="1" x14ac:dyDescent="0.3">
      <c r="A3" s="4" t="s">
        <v>21</v>
      </c>
      <c r="B3" s="4" t="s">
        <v>22</v>
      </c>
      <c r="C3" s="4" t="s">
        <v>23</v>
      </c>
      <c r="D3" s="4" t="s">
        <v>24</v>
      </c>
      <c r="E3" s="4" t="s">
        <v>27</v>
      </c>
      <c r="F3" s="4" t="s">
        <v>25</v>
      </c>
      <c r="G3" s="4" t="s">
        <v>25</v>
      </c>
      <c r="H3" s="4" t="s">
        <v>25</v>
      </c>
      <c r="I3" s="5">
        <v>44440</v>
      </c>
      <c r="J3" s="6">
        <v>0</v>
      </c>
      <c r="K3" s="6">
        <v>0</v>
      </c>
      <c r="L3" s="6">
        <v>0.06</v>
      </c>
      <c r="M3" s="6">
        <v>0.06</v>
      </c>
      <c r="N3" s="6">
        <v>0.06</v>
      </c>
      <c r="O3" s="6">
        <v>0.06</v>
      </c>
      <c r="P3" s="6">
        <v>0</v>
      </c>
      <c r="Q3" s="4" t="s">
        <v>26</v>
      </c>
      <c r="R3" s="4">
        <v>0</v>
      </c>
      <c r="S3" s="4">
        <v>0</v>
      </c>
      <c r="T3" s="4">
        <v>16</v>
      </c>
      <c r="U3" s="4">
        <v>45</v>
      </c>
      <c r="V3" s="6">
        <f>IF(ISERROR(VLOOKUP($S$3,'TAR FIN'!$A$1:$O$85,15,0)),0,VLOOKUP($S$3,'TAR FIN'!$A$1:$O$85,15,0))</f>
        <v>0</v>
      </c>
      <c r="W3" s="6">
        <f>IF(ISERROR(VLOOKUP($T$3,'TAR FIN'!$A$1:$O$85,15,0)),0,VLOOKUP($T$3,'TAR FIN'!$A$1:$O$85,15,0))</f>
        <v>77.760000000000005</v>
      </c>
      <c r="X3" s="6">
        <f>IF(ISERROR(VLOOKUP($U$3,'TAR FIN'!$A$1:$O$85,15,0)),0,VLOOKUP($U$3,'TAR FIN'!$A$1:$O$85,15,0))</f>
        <v>108.67</v>
      </c>
      <c r="Y3" s="6"/>
      <c r="Z3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3" s="6">
        <f>('TE BE'!$AB$11+'TE BF'!$AB$11+'TE CVA'!$AB$11)*(1-CUSTOS!$M$34)</f>
        <v>77.627236916846073</v>
      </c>
      <c r="AB3" s="6">
        <f t="shared" si="0"/>
        <v>0</v>
      </c>
      <c r="AC3" s="6">
        <f>(L3-M3)*(W3+X3)+($W$39+$X$39-$W$3-$X$3)*(L3)</f>
        <v>20.775000000000002</v>
      </c>
      <c r="AD3" s="6">
        <f t="shared" si="1"/>
        <v>0</v>
      </c>
      <c r="AE3" s="6">
        <f ca="1">(L3-M3)*(Z3+AA3)+($Z$39+$AA$39-$Z$3-$AA$3)*(L3)</f>
        <v>16.998728035778246</v>
      </c>
      <c r="AF3" s="4" t="s">
        <v>569</v>
      </c>
      <c r="AH3" s="35" t="s">
        <v>576</v>
      </c>
      <c r="AI3" s="36">
        <f t="shared" si="2"/>
        <v>0</v>
      </c>
      <c r="AJ3" s="36">
        <f t="shared" si="3"/>
        <v>0</v>
      </c>
    </row>
    <row r="4" spans="1:36" ht="11.25" customHeight="1" x14ac:dyDescent="0.3">
      <c r="A4" s="4" t="s">
        <v>21</v>
      </c>
      <c r="B4" s="4" t="s">
        <v>22</v>
      </c>
      <c r="C4" s="4" t="s">
        <v>23</v>
      </c>
      <c r="D4" s="4" t="s">
        <v>24</v>
      </c>
      <c r="E4" s="4" t="s">
        <v>27</v>
      </c>
      <c r="F4" s="4" t="s">
        <v>25</v>
      </c>
      <c r="G4" s="4" t="s">
        <v>25</v>
      </c>
      <c r="H4" s="4" t="s">
        <v>25</v>
      </c>
      <c r="I4" s="5">
        <v>44470</v>
      </c>
      <c r="J4" s="6">
        <v>0</v>
      </c>
      <c r="K4" s="6">
        <v>0</v>
      </c>
      <c r="L4" s="6">
        <v>0.06</v>
      </c>
      <c r="M4" s="6">
        <v>0.06</v>
      </c>
      <c r="N4" s="6">
        <v>0.06</v>
      </c>
      <c r="O4" s="6">
        <v>0.06</v>
      </c>
      <c r="P4" s="6">
        <v>0</v>
      </c>
      <c r="Q4" s="4" t="s">
        <v>26</v>
      </c>
      <c r="R4" s="4">
        <v>0</v>
      </c>
      <c r="S4" s="4">
        <v>0</v>
      </c>
      <c r="T4" s="4">
        <v>16</v>
      </c>
      <c r="U4" s="4">
        <v>45</v>
      </c>
      <c r="V4" s="6">
        <f>IF(ISERROR(VLOOKUP($S$4,'TAR FIN'!$A$1:$O$85,15,0)),0,VLOOKUP($S$4,'TAR FIN'!$A$1:$O$85,15,0))</f>
        <v>0</v>
      </c>
      <c r="W4" s="6">
        <f>IF(ISERROR(VLOOKUP($T$4,'TAR FIN'!$A$1:$O$85,15,0)),0,VLOOKUP($T$4,'TAR FIN'!$A$1:$O$85,15,0))</f>
        <v>77.760000000000005</v>
      </c>
      <c r="X4" s="6">
        <f>IF(ISERROR(VLOOKUP($U$4,'TAR FIN'!$A$1:$O$85,15,0)),0,VLOOKUP($U$4,'TAR FIN'!$A$1:$O$85,15,0))</f>
        <v>108.67</v>
      </c>
      <c r="Y4" s="6"/>
      <c r="Z4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4" s="6">
        <f>('TE BE'!$AB$11+'TE BF'!$AB$11+'TE CVA'!$AB$11)*(1-CUSTOS!$M$34)</f>
        <v>77.627236916846073</v>
      </c>
      <c r="AB4" s="6">
        <f t="shared" si="0"/>
        <v>0</v>
      </c>
      <c r="AC4" s="6">
        <f>(L4-M4)*(W4+X4)+($W$39+$X$39-$W$4-$X$4)*(L4)</f>
        <v>20.775000000000002</v>
      </c>
      <c r="AD4" s="6">
        <f t="shared" si="1"/>
        <v>0</v>
      </c>
      <c r="AE4" s="6">
        <f ca="1">(L4-M4)*(Z4+AA4)+($Z$39+$AA$39-$Z$4-$AA$4)*(L4)</f>
        <v>16.998728035778246</v>
      </c>
      <c r="AF4" s="4" t="s">
        <v>569</v>
      </c>
      <c r="AH4" s="35" t="s">
        <v>577</v>
      </c>
      <c r="AI4" s="36">
        <f t="shared" si="2"/>
        <v>0</v>
      </c>
      <c r="AJ4" s="36">
        <f t="shared" si="3"/>
        <v>0</v>
      </c>
    </row>
    <row r="5" spans="1:36" ht="11.25" customHeight="1" x14ac:dyDescent="0.3">
      <c r="A5" s="4" t="s">
        <v>21</v>
      </c>
      <c r="B5" s="4" t="s">
        <v>22</v>
      </c>
      <c r="C5" s="4" t="s">
        <v>23</v>
      </c>
      <c r="D5" s="4" t="s">
        <v>24</v>
      </c>
      <c r="E5" s="4" t="s">
        <v>27</v>
      </c>
      <c r="F5" s="4" t="s">
        <v>25</v>
      </c>
      <c r="G5" s="4" t="s">
        <v>25</v>
      </c>
      <c r="H5" s="4" t="s">
        <v>25</v>
      </c>
      <c r="I5" s="5">
        <v>44501</v>
      </c>
      <c r="J5" s="6">
        <v>0</v>
      </c>
      <c r="K5" s="6">
        <v>0</v>
      </c>
      <c r="L5" s="6">
        <v>0.09</v>
      </c>
      <c r="M5" s="6">
        <v>0.09</v>
      </c>
      <c r="N5" s="6">
        <v>0.09</v>
      </c>
      <c r="O5" s="6">
        <v>0.09</v>
      </c>
      <c r="P5" s="6">
        <v>0</v>
      </c>
      <c r="Q5" s="4" t="s">
        <v>26</v>
      </c>
      <c r="R5" s="4">
        <v>0</v>
      </c>
      <c r="S5" s="4">
        <v>0</v>
      </c>
      <c r="T5" s="4">
        <v>16</v>
      </c>
      <c r="U5" s="4">
        <v>45</v>
      </c>
      <c r="V5" s="6">
        <f>IF(ISERROR(VLOOKUP($S$5,'TAR FIN'!$A$1:$O$85,15,0)),0,VLOOKUP($S$5,'TAR FIN'!$A$1:$O$85,15,0))</f>
        <v>0</v>
      </c>
      <c r="W5" s="6">
        <f>IF(ISERROR(VLOOKUP($T$5,'TAR FIN'!$A$1:$O$85,15,0)),0,VLOOKUP($T$5,'TAR FIN'!$A$1:$O$85,15,0))</f>
        <v>77.760000000000005</v>
      </c>
      <c r="X5" s="6">
        <f>IF(ISERROR(VLOOKUP($U$5,'TAR FIN'!$A$1:$O$85,15,0)),0,VLOOKUP($U$5,'TAR FIN'!$A$1:$O$85,15,0))</f>
        <v>108.67</v>
      </c>
      <c r="Y5" s="6"/>
      <c r="Z5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5" s="6">
        <f>('TE BE'!$AB$11+'TE BF'!$AB$11+'TE CVA'!$AB$11)*(1-CUSTOS!$M$34)</f>
        <v>77.627236916846073</v>
      </c>
      <c r="AB5" s="6">
        <f t="shared" si="0"/>
        <v>0</v>
      </c>
      <c r="AC5" s="6">
        <f>(L5-M5)*(W5+X5)+($W$39+$X$39-$W$5-$X$5)*(L5)</f>
        <v>31.162500000000005</v>
      </c>
      <c r="AD5" s="6">
        <f t="shared" si="1"/>
        <v>0</v>
      </c>
      <c r="AE5" s="6">
        <f ca="1">(L5-M5)*(Z5+AA5)+($Z$39+$AA$39-$Z$5-$AA$5)*(L5)</f>
        <v>25.498092053667371</v>
      </c>
      <c r="AF5" s="4" t="s">
        <v>569</v>
      </c>
      <c r="AH5" s="35" t="s">
        <v>572</v>
      </c>
      <c r="AI5" s="36">
        <f t="shared" si="2"/>
        <v>271.83507299999997</v>
      </c>
      <c r="AJ5" s="36">
        <f t="shared" ca="1" si="3"/>
        <v>117.99366350992591</v>
      </c>
    </row>
    <row r="6" spans="1:36" ht="11.25" customHeight="1" x14ac:dyDescent="0.3">
      <c r="A6" s="4" t="s">
        <v>21</v>
      </c>
      <c r="B6" s="4" t="s">
        <v>22</v>
      </c>
      <c r="C6" s="4" t="s">
        <v>23</v>
      </c>
      <c r="D6" s="4" t="s">
        <v>24</v>
      </c>
      <c r="E6" s="4" t="s">
        <v>27</v>
      </c>
      <c r="F6" s="4" t="s">
        <v>25</v>
      </c>
      <c r="G6" s="4" t="s">
        <v>25</v>
      </c>
      <c r="H6" s="4" t="s">
        <v>25</v>
      </c>
      <c r="I6" s="5">
        <v>44531</v>
      </c>
      <c r="J6" s="6">
        <v>0</v>
      </c>
      <c r="K6" s="6">
        <v>0</v>
      </c>
      <c r="L6" s="6">
        <v>0.09</v>
      </c>
      <c r="M6" s="6">
        <v>0.09</v>
      </c>
      <c r="N6" s="6">
        <v>0.09</v>
      </c>
      <c r="O6" s="6">
        <v>0.09</v>
      </c>
      <c r="P6" s="6">
        <v>0</v>
      </c>
      <c r="Q6" s="4" t="s">
        <v>26</v>
      </c>
      <c r="R6" s="4">
        <v>0</v>
      </c>
      <c r="S6" s="4">
        <v>0</v>
      </c>
      <c r="T6" s="4">
        <v>16</v>
      </c>
      <c r="U6" s="4">
        <v>45</v>
      </c>
      <c r="V6" s="6">
        <f>IF(ISERROR(VLOOKUP($S$6,'TAR FIN'!$A$1:$O$85,15,0)),0,VLOOKUP($S$6,'TAR FIN'!$A$1:$O$85,15,0))</f>
        <v>0</v>
      </c>
      <c r="W6" s="6">
        <f>IF(ISERROR(VLOOKUP($T$6,'TAR FIN'!$A$1:$O$85,15,0)),0,VLOOKUP($T$6,'TAR FIN'!$A$1:$O$85,15,0))</f>
        <v>77.760000000000005</v>
      </c>
      <c r="X6" s="6">
        <f>IF(ISERROR(VLOOKUP($U$6,'TAR FIN'!$A$1:$O$85,15,0)),0,VLOOKUP($U$6,'TAR FIN'!$A$1:$O$85,15,0))</f>
        <v>108.67</v>
      </c>
      <c r="Y6" s="6"/>
      <c r="Z6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6" s="6">
        <f>('TE BE'!$AB$11+'TE BF'!$AB$11+'TE CVA'!$AB$11)*(1-CUSTOS!$M$34)</f>
        <v>77.627236916846073</v>
      </c>
      <c r="AB6" s="6">
        <f t="shared" si="0"/>
        <v>0</v>
      </c>
      <c r="AC6" s="6">
        <f>(L6-M6)*(W6+X6)+($W$39+$X$39-$W$6-$X$6)*(L6)</f>
        <v>31.162500000000005</v>
      </c>
      <c r="AD6" s="6">
        <f t="shared" si="1"/>
        <v>0</v>
      </c>
      <c r="AE6" s="6">
        <f ca="1">(L6-M6)*(Z6+AA6)+($Z$39+$AA$39-$Z$6-$AA$6)*(L6)</f>
        <v>25.498092053667371</v>
      </c>
      <c r="AF6" s="4" t="s">
        <v>569</v>
      </c>
      <c r="AH6" s="35" t="s">
        <v>570</v>
      </c>
      <c r="AI6" s="36">
        <f t="shared" si="2"/>
        <v>422523.79510000005</v>
      </c>
      <c r="AJ6" s="36">
        <f t="shared" ca="1" si="3"/>
        <v>183397.14972391695</v>
      </c>
    </row>
    <row r="7" spans="1:36" ht="11.25" customHeight="1" x14ac:dyDescent="0.3">
      <c r="A7" s="4" t="s">
        <v>21</v>
      </c>
      <c r="B7" s="4" t="s">
        <v>22</v>
      </c>
      <c r="C7" s="4" t="s">
        <v>23</v>
      </c>
      <c r="D7" s="4" t="s">
        <v>24</v>
      </c>
      <c r="E7" s="4" t="s">
        <v>27</v>
      </c>
      <c r="F7" s="4" t="s">
        <v>25</v>
      </c>
      <c r="G7" s="4" t="s">
        <v>25</v>
      </c>
      <c r="H7" s="4" t="s">
        <v>25</v>
      </c>
      <c r="I7" s="5">
        <v>44562</v>
      </c>
      <c r="J7" s="6">
        <v>0</v>
      </c>
      <c r="K7" s="6">
        <v>0</v>
      </c>
      <c r="L7" s="6">
        <v>0.09</v>
      </c>
      <c r="M7" s="6">
        <v>0.09</v>
      </c>
      <c r="N7" s="6">
        <v>0.09</v>
      </c>
      <c r="O7" s="6">
        <v>0.09</v>
      </c>
      <c r="P7" s="6">
        <v>0</v>
      </c>
      <c r="Q7" s="4" t="s">
        <v>26</v>
      </c>
      <c r="R7" s="4">
        <v>0</v>
      </c>
      <c r="S7" s="4">
        <v>0</v>
      </c>
      <c r="T7" s="4">
        <v>16</v>
      </c>
      <c r="U7" s="4">
        <v>45</v>
      </c>
      <c r="V7" s="6">
        <f>IF(ISERROR(VLOOKUP($S$7,'TAR FIN'!$A$1:$O$85,15,0)),0,VLOOKUP($S$7,'TAR FIN'!$A$1:$O$85,15,0))</f>
        <v>0</v>
      </c>
      <c r="W7" s="6">
        <f>IF(ISERROR(VLOOKUP($T$7,'TAR FIN'!$A$1:$O$85,15,0)),0,VLOOKUP($T$7,'TAR FIN'!$A$1:$O$85,15,0))</f>
        <v>77.760000000000005</v>
      </c>
      <c r="X7" s="6">
        <f>IF(ISERROR(VLOOKUP($U$7,'TAR FIN'!$A$1:$O$85,15,0)),0,VLOOKUP($U$7,'TAR FIN'!$A$1:$O$85,15,0))</f>
        <v>108.67</v>
      </c>
      <c r="Y7" s="6"/>
      <c r="Z7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7" s="6">
        <f>('TE BE'!$AB$11+'TE BF'!$AB$11+'TE CVA'!$AB$11)*(1-CUSTOS!$M$34)</f>
        <v>77.627236916846073</v>
      </c>
      <c r="AB7" s="6">
        <f t="shared" si="0"/>
        <v>0</v>
      </c>
      <c r="AC7" s="6">
        <f>(L7-M7)*(W7+X7)+($W$39+$X$39-$W$7-$X$7)*(L7)</f>
        <v>31.162500000000005</v>
      </c>
      <c r="AD7" s="6">
        <f t="shared" si="1"/>
        <v>0</v>
      </c>
      <c r="AE7" s="6">
        <f ca="1">(L7-M7)*(Z7+AA7)+($Z$39+$AA$39-$Z$7-$AA$7)*(L7)</f>
        <v>25.498092053667371</v>
      </c>
      <c r="AF7" s="4" t="s">
        <v>569</v>
      </c>
      <c r="AH7" s="35" t="s">
        <v>571</v>
      </c>
      <c r="AI7" s="36">
        <f t="shared" si="2"/>
        <v>19.335839999999997</v>
      </c>
      <c r="AJ7" s="36">
        <f t="shared" ca="1" si="3"/>
        <v>15.969211555959067</v>
      </c>
    </row>
    <row r="8" spans="1:36" ht="11.25" customHeight="1" x14ac:dyDescent="0.3">
      <c r="A8" s="4" t="s">
        <v>21</v>
      </c>
      <c r="B8" s="4" t="s">
        <v>22</v>
      </c>
      <c r="C8" s="4" t="s">
        <v>23</v>
      </c>
      <c r="D8" s="4" t="s">
        <v>24</v>
      </c>
      <c r="E8" s="4" t="s">
        <v>27</v>
      </c>
      <c r="F8" s="4" t="s">
        <v>25</v>
      </c>
      <c r="G8" s="4" t="s">
        <v>25</v>
      </c>
      <c r="H8" s="4" t="s">
        <v>25</v>
      </c>
      <c r="I8" s="5">
        <v>44593</v>
      </c>
      <c r="J8" s="6">
        <v>0</v>
      </c>
      <c r="K8" s="6">
        <v>0</v>
      </c>
      <c r="L8" s="6">
        <v>0.18</v>
      </c>
      <c r="M8" s="6">
        <v>0.18</v>
      </c>
      <c r="N8" s="6">
        <v>0.18</v>
      </c>
      <c r="O8" s="6">
        <v>0.18</v>
      </c>
      <c r="P8" s="6">
        <v>0</v>
      </c>
      <c r="Q8" s="4" t="s">
        <v>26</v>
      </c>
      <c r="R8" s="4">
        <v>0</v>
      </c>
      <c r="S8" s="4">
        <v>0</v>
      </c>
      <c r="T8" s="4">
        <v>16</v>
      </c>
      <c r="U8" s="4">
        <v>45</v>
      </c>
      <c r="V8" s="6">
        <f>IF(ISERROR(VLOOKUP($S$8,'TAR FIN'!$A$1:$O$85,15,0)),0,VLOOKUP($S$8,'TAR FIN'!$A$1:$O$85,15,0))</f>
        <v>0</v>
      </c>
      <c r="W8" s="6">
        <f>IF(ISERROR(VLOOKUP($T$8,'TAR FIN'!$A$1:$O$85,15,0)),0,VLOOKUP($T$8,'TAR FIN'!$A$1:$O$85,15,0))</f>
        <v>77.760000000000005</v>
      </c>
      <c r="X8" s="6">
        <f>IF(ISERROR(VLOOKUP($U$8,'TAR FIN'!$A$1:$O$85,15,0)),0,VLOOKUP($U$8,'TAR FIN'!$A$1:$O$85,15,0))</f>
        <v>108.67</v>
      </c>
      <c r="Y8" s="6"/>
      <c r="Z8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8" s="6">
        <f>('TE BE'!$AB$11+'TE BF'!$AB$11+'TE CVA'!$AB$11)*(1-CUSTOS!$M$34)</f>
        <v>77.627236916846073</v>
      </c>
      <c r="AB8" s="6">
        <f t="shared" si="0"/>
        <v>0</v>
      </c>
      <c r="AC8" s="6">
        <f>(L8-M8)*(W8+X8)+($W$39+$X$39-$W$8-$X$8)*(L8)</f>
        <v>62.32500000000001</v>
      </c>
      <c r="AD8" s="6">
        <f t="shared" si="1"/>
        <v>0</v>
      </c>
      <c r="AE8" s="6">
        <f ca="1">(L8-M8)*(Z8+AA8)+($Z$39+$AA$39-$Z$8-$AA$8)*(L8)</f>
        <v>50.996184107334741</v>
      </c>
      <c r="AF8" s="4" t="s">
        <v>569</v>
      </c>
      <c r="AH8" s="35" t="s">
        <v>569</v>
      </c>
      <c r="AI8" s="36">
        <f t="shared" si="2"/>
        <v>2051.1594999999998</v>
      </c>
      <c r="AJ8" s="36">
        <f t="shared" ca="1" si="3"/>
        <v>1678.3410813991723</v>
      </c>
    </row>
    <row r="9" spans="1:36" ht="11.25" customHeight="1" x14ac:dyDescent="0.3">
      <c r="A9" s="4" t="s">
        <v>21</v>
      </c>
      <c r="B9" s="4" t="s">
        <v>22</v>
      </c>
      <c r="C9" s="4" t="s">
        <v>23</v>
      </c>
      <c r="D9" s="4" t="s">
        <v>24</v>
      </c>
      <c r="E9" s="4" t="s">
        <v>27</v>
      </c>
      <c r="F9" s="4" t="s">
        <v>25</v>
      </c>
      <c r="G9" s="4" t="s">
        <v>25</v>
      </c>
      <c r="H9" s="4" t="s">
        <v>25</v>
      </c>
      <c r="I9" s="5">
        <v>44621</v>
      </c>
      <c r="J9" s="6">
        <v>0</v>
      </c>
      <c r="K9" s="6">
        <v>0</v>
      </c>
      <c r="L9" s="6">
        <v>0.3</v>
      </c>
      <c r="M9" s="6">
        <v>0.3</v>
      </c>
      <c r="N9" s="6">
        <v>0.3</v>
      </c>
      <c r="O9" s="6">
        <v>0.3</v>
      </c>
      <c r="P9" s="6">
        <v>1</v>
      </c>
      <c r="Q9" s="4" t="s">
        <v>26</v>
      </c>
      <c r="R9" s="4">
        <v>0</v>
      </c>
      <c r="S9" s="4">
        <v>0</v>
      </c>
      <c r="T9" s="4">
        <v>16</v>
      </c>
      <c r="U9" s="4">
        <v>45</v>
      </c>
      <c r="V9" s="6">
        <f>IF(ISERROR(VLOOKUP($S$9,'TAR FIN'!$A$1:$O$85,15,0)),0,VLOOKUP($S$9,'TAR FIN'!$A$1:$O$85,15,0))</f>
        <v>0</v>
      </c>
      <c r="W9" s="6">
        <f>IF(ISERROR(VLOOKUP($T$9,'TAR FIN'!$A$1:$O$85,15,0)),0,VLOOKUP($T$9,'TAR FIN'!$A$1:$O$85,15,0))</f>
        <v>77.760000000000005</v>
      </c>
      <c r="X9" s="6">
        <f>IF(ISERROR(VLOOKUP($U$9,'TAR FIN'!$A$1:$O$85,15,0)),0,VLOOKUP($U$9,'TAR FIN'!$A$1:$O$85,15,0))</f>
        <v>108.67</v>
      </c>
      <c r="Y9" s="6"/>
      <c r="Z9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9" s="6">
        <f>('TE BE'!$AB$11+'TE BF'!$AB$11+'TE CVA'!$AB$11)*(1-CUSTOS!$M$34)</f>
        <v>77.627236916846073</v>
      </c>
      <c r="AB9" s="6">
        <f t="shared" si="0"/>
        <v>0</v>
      </c>
      <c r="AC9" s="6">
        <f>(L9-M9)*(W9+X9)+($W$39+$X$39-$W$9-$X$9)*(L9)</f>
        <v>103.87500000000001</v>
      </c>
      <c r="AD9" s="6">
        <f t="shared" si="1"/>
        <v>0</v>
      </c>
      <c r="AE9" s="6">
        <f ca="1">(L9-M9)*(Z9+AA9)+($Z$39+$AA$39-$Z$9-$AA$9)*(L9)</f>
        <v>84.993640178891241</v>
      </c>
      <c r="AF9" s="4" t="s">
        <v>569</v>
      </c>
      <c r="AH9" s="35" t="s">
        <v>578</v>
      </c>
      <c r="AI9" s="36">
        <f t="shared" si="2"/>
        <v>0</v>
      </c>
      <c r="AJ9" s="36">
        <f t="shared" si="3"/>
        <v>0</v>
      </c>
    </row>
    <row r="10" spans="1:36" ht="11.25" customHeight="1" x14ac:dyDescent="0.3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27</v>
      </c>
      <c r="F10" s="4" t="s">
        <v>25</v>
      </c>
      <c r="G10" s="4" t="s">
        <v>25</v>
      </c>
      <c r="H10" s="4" t="s">
        <v>25</v>
      </c>
      <c r="I10" s="5">
        <v>44652</v>
      </c>
      <c r="J10" s="6">
        <v>0</v>
      </c>
      <c r="K10" s="6">
        <v>0</v>
      </c>
      <c r="L10" s="6">
        <v>0.3</v>
      </c>
      <c r="M10" s="6">
        <v>0.3</v>
      </c>
      <c r="N10" s="6">
        <v>0.3</v>
      </c>
      <c r="O10" s="6">
        <v>0.3</v>
      </c>
      <c r="P10" s="6">
        <v>2</v>
      </c>
      <c r="Q10" s="4" t="s">
        <v>26</v>
      </c>
      <c r="R10" s="4">
        <v>0</v>
      </c>
      <c r="S10" s="4">
        <v>0</v>
      </c>
      <c r="T10" s="4">
        <v>16</v>
      </c>
      <c r="U10" s="4">
        <v>45</v>
      </c>
      <c r="V10" s="6">
        <f>IF(ISERROR(VLOOKUP($S$10,'TAR FIN'!$A$1:$O$85,15,0)),0,VLOOKUP($S$10,'TAR FIN'!$A$1:$O$85,15,0))</f>
        <v>0</v>
      </c>
      <c r="W10" s="6">
        <f>IF(ISERROR(VLOOKUP($T$10,'TAR FIN'!$A$1:$O$85,15,0)),0,VLOOKUP($T$10,'TAR FIN'!$A$1:$O$85,15,0))</f>
        <v>77.760000000000005</v>
      </c>
      <c r="X10" s="6">
        <f>IF(ISERROR(VLOOKUP($U$10,'TAR FIN'!$A$1:$O$85,15,0)),0,VLOOKUP($U$10,'TAR FIN'!$A$1:$O$85,15,0))</f>
        <v>108.67</v>
      </c>
      <c r="Y10" s="6"/>
      <c r="Z10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10" s="6">
        <f>('TE BE'!$AB$11+'TE BF'!$AB$11+'TE CVA'!$AB$11)*(1-CUSTOS!$M$34)</f>
        <v>77.627236916846073</v>
      </c>
      <c r="AB10" s="6">
        <f t="shared" si="0"/>
        <v>0</v>
      </c>
      <c r="AC10" s="6">
        <f>(L10-M10)*(W10+X10)+($W$39+$X$39-$W$10-$X$10)*(L10)</f>
        <v>103.87500000000001</v>
      </c>
      <c r="AD10" s="6">
        <f t="shared" si="1"/>
        <v>0</v>
      </c>
      <c r="AE10" s="6">
        <f ca="1">(L10-M10)*(Z10+AA10)+($Z$39+$AA$39-$Z$10-$AA$10)*(L10)</f>
        <v>84.993640178891241</v>
      </c>
      <c r="AF10" s="4" t="s">
        <v>569</v>
      </c>
    </row>
    <row r="11" spans="1:36" ht="11.25" customHeight="1" x14ac:dyDescent="0.3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27</v>
      </c>
      <c r="F11" s="4" t="s">
        <v>25</v>
      </c>
      <c r="G11" s="4" t="s">
        <v>25</v>
      </c>
      <c r="H11" s="4" t="s">
        <v>25</v>
      </c>
      <c r="I11" s="5">
        <v>44682</v>
      </c>
      <c r="J11" s="6">
        <v>0</v>
      </c>
      <c r="K11" s="6">
        <v>0</v>
      </c>
      <c r="L11" s="6">
        <v>0.3</v>
      </c>
      <c r="M11" s="6">
        <v>0.3</v>
      </c>
      <c r="N11" s="6">
        <v>0.3</v>
      </c>
      <c r="O11" s="6">
        <v>0.3</v>
      </c>
      <c r="P11" s="6">
        <v>2</v>
      </c>
      <c r="Q11" s="4" t="s">
        <v>26</v>
      </c>
      <c r="R11" s="4">
        <v>0</v>
      </c>
      <c r="S11" s="4">
        <v>0</v>
      </c>
      <c r="T11" s="4">
        <v>16</v>
      </c>
      <c r="U11" s="4">
        <v>45</v>
      </c>
      <c r="V11" s="6">
        <f>IF(ISERROR(VLOOKUP($S$11,'TAR FIN'!$A$1:$O$85,15,0)),0,VLOOKUP($S$11,'TAR FIN'!$A$1:$O$85,15,0))</f>
        <v>0</v>
      </c>
      <c r="W11" s="6">
        <f>IF(ISERROR(VLOOKUP($T$11,'TAR FIN'!$A$1:$O$85,15,0)),0,VLOOKUP($T$11,'TAR FIN'!$A$1:$O$85,15,0))</f>
        <v>77.760000000000005</v>
      </c>
      <c r="X11" s="6">
        <f>IF(ISERROR(VLOOKUP($U$11,'TAR FIN'!$A$1:$O$85,15,0)),0,VLOOKUP($U$11,'TAR FIN'!$A$1:$O$85,15,0))</f>
        <v>108.67</v>
      </c>
      <c r="Y11" s="6"/>
      <c r="Z11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11" s="6">
        <f>('TE BE'!$AB$11+'TE BF'!$AB$11+'TE CVA'!$AB$11)*(1-CUSTOS!$M$34)</f>
        <v>77.627236916846073</v>
      </c>
      <c r="AB11" s="6">
        <f t="shared" si="0"/>
        <v>0</v>
      </c>
      <c r="AC11" s="6">
        <f>(L11-M11)*(W11+X11)+($W$39+$X$39-$W$11-$X$11)*(L11)</f>
        <v>103.87500000000001</v>
      </c>
      <c r="AD11" s="6">
        <f t="shared" si="1"/>
        <v>0</v>
      </c>
      <c r="AE11" s="6">
        <f ca="1">(L11-M11)*(Z11+AA11)+($Z$39+$AA$39-$Z$11-$AA$11)*(L11)</f>
        <v>84.993640178891241</v>
      </c>
      <c r="AF11" s="4" t="s">
        <v>569</v>
      </c>
    </row>
    <row r="12" spans="1:36" ht="11.25" customHeight="1" x14ac:dyDescent="0.3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27</v>
      </c>
      <c r="F12" s="4" t="s">
        <v>25</v>
      </c>
      <c r="G12" s="4" t="s">
        <v>25</v>
      </c>
      <c r="H12" s="4" t="s">
        <v>25</v>
      </c>
      <c r="I12" s="5">
        <v>44713</v>
      </c>
      <c r="J12" s="6">
        <v>0</v>
      </c>
      <c r="K12" s="6">
        <v>0</v>
      </c>
      <c r="L12" s="6">
        <v>0.3</v>
      </c>
      <c r="M12" s="6">
        <v>0.3</v>
      </c>
      <c r="N12" s="6">
        <v>0.3</v>
      </c>
      <c r="O12" s="6">
        <v>0.3</v>
      </c>
      <c r="P12" s="6">
        <v>2</v>
      </c>
      <c r="Q12" s="4" t="s">
        <v>26</v>
      </c>
      <c r="R12" s="4">
        <v>0</v>
      </c>
      <c r="S12" s="4">
        <v>0</v>
      </c>
      <c r="T12" s="4">
        <v>16</v>
      </c>
      <c r="U12" s="4">
        <v>45</v>
      </c>
      <c r="V12" s="6">
        <f>IF(ISERROR(VLOOKUP($S$12,'TAR FIN'!$A$1:$O$85,15,0)),0,VLOOKUP($S$12,'TAR FIN'!$A$1:$O$85,15,0))</f>
        <v>0</v>
      </c>
      <c r="W12" s="6">
        <f>IF(ISERROR(VLOOKUP($T$12,'TAR FIN'!$A$1:$O$85,15,0)),0,VLOOKUP($T$12,'TAR FIN'!$A$1:$O$85,15,0))</f>
        <v>77.760000000000005</v>
      </c>
      <c r="X12" s="6">
        <f>IF(ISERROR(VLOOKUP($U$12,'TAR FIN'!$A$1:$O$85,15,0)),0,VLOOKUP($U$12,'TAR FIN'!$A$1:$O$85,15,0))</f>
        <v>108.67</v>
      </c>
      <c r="Y12" s="6"/>
      <c r="Z12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12" s="6">
        <f>('TE BE'!$AB$11+'TE BF'!$AB$11+'TE CVA'!$AB$11)*(1-CUSTOS!$M$34)</f>
        <v>77.627236916846073</v>
      </c>
      <c r="AB12" s="6">
        <f t="shared" si="0"/>
        <v>0</v>
      </c>
      <c r="AC12" s="6">
        <f>(L12-M12)*(W12+X12)+($W$39+$X$39-$W$12-$X$12)*(L12)</f>
        <v>103.87500000000001</v>
      </c>
      <c r="AD12" s="6">
        <f t="shared" si="1"/>
        <v>0</v>
      </c>
      <c r="AE12" s="6">
        <f ca="1">(L12-M12)*(Z12+AA12)+($Z$39+$AA$39-$Z$12-$AA$12)*(L12)</f>
        <v>84.993640178891241</v>
      </c>
      <c r="AF12" s="4" t="s">
        <v>569</v>
      </c>
      <c r="AJ12" s="6">
        <f ca="1">SUM(AJ2:AJ9)</f>
        <v>185209.45368038202</v>
      </c>
    </row>
    <row r="13" spans="1:36" ht="11.25" customHeight="1" x14ac:dyDescent="0.3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27</v>
      </c>
      <c r="F13" s="4" t="s">
        <v>25</v>
      </c>
      <c r="G13" s="4" t="s">
        <v>25</v>
      </c>
      <c r="H13" s="4" t="s">
        <v>25</v>
      </c>
      <c r="I13" s="5">
        <v>44743</v>
      </c>
      <c r="J13" s="6">
        <v>0</v>
      </c>
      <c r="K13" s="6">
        <v>0</v>
      </c>
      <c r="L13" s="6">
        <v>0.3</v>
      </c>
      <c r="M13" s="6">
        <v>0.3</v>
      </c>
      <c r="N13" s="6">
        <v>0.3</v>
      </c>
      <c r="O13" s="6">
        <v>0.3</v>
      </c>
      <c r="P13" s="6">
        <v>2</v>
      </c>
      <c r="Q13" s="4" t="s">
        <v>26</v>
      </c>
      <c r="R13" s="4">
        <v>0</v>
      </c>
      <c r="S13" s="4">
        <v>0</v>
      </c>
      <c r="T13" s="4">
        <v>16</v>
      </c>
      <c r="U13" s="4">
        <v>45</v>
      </c>
      <c r="V13" s="6">
        <f>IF(ISERROR(VLOOKUP($S$13,'TAR FIN'!$A$1:$O$85,15,0)),0,VLOOKUP($S$13,'TAR FIN'!$A$1:$O$85,15,0))</f>
        <v>0</v>
      </c>
      <c r="W13" s="6">
        <f>IF(ISERROR(VLOOKUP($T$13,'TAR FIN'!$A$1:$O$85,15,0)),0,VLOOKUP($T$13,'TAR FIN'!$A$1:$O$85,15,0))</f>
        <v>77.760000000000005</v>
      </c>
      <c r="X13" s="6">
        <f>IF(ISERROR(VLOOKUP($U$13,'TAR FIN'!$A$1:$O$85,15,0)),0,VLOOKUP($U$13,'TAR FIN'!$A$1:$O$85,15,0))</f>
        <v>108.67</v>
      </c>
      <c r="Y13" s="6"/>
      <c r="Z13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13" s="6">
        <f>('TE BE'!$AB$11+'TE BF'!$AB$11+'TE CVA'!$AB$11)*(1-CUSTOS!$M$34)</f>
        <v>77.627236916846073</v>
      </c>
      <c r="AB13" s="6">
        <f t="shared" si="0"/>
        <v>0</v>
      </c>
      <c r="AC13" s="6">
        <f>(L13-M13)*(W13+X13)+($W$39+$X$39-$W$13-$X$13)*(L13)</f>
        <v>103.87500000000001</v>
      </c>
      <c r="AD13" s="6">
        <f t="shared" si="1"/>
        <v>0</v>
      </c>
      <c r="AE13" s="6">
        <f ca="1">(L13-M13)*(Z13+AA13)+($Z$39+$AA$39-$Z$13-$AA$13)*(L13)</f>
        <v>84.993640178891241</v>
      </c>
      <c r="AF13" s="4" t="s">
        <v>569</v>
      </c>
    </row>
    <row r="14" spans="1:36" ht="11.25" customHeight="1" x14ac:dyDescent="0.3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27</v>
      </c>
      <c r="F14" s="4" t="s">
        <v>25</v>
      </c>
      <c r="G14" s="4" t="s">
        <v>25</v>
      </c>
      <c r="H14" s="4" t="s">
        <v>25</v>
      </c>
      <c r="I14" s="5">
        <v>44774</v>
      </c>
      <c r="J14" s="6">
        <v>0</v>
      </c>
      <c r="K14" s="6">
        <v>0</v>
      </c>
      <c r="L14" s="6">
        <v>0.3</v>
      </c>
      <c r="M14" s="6">
        <v>0.3</v>
      </c>
      <c r="N14" s="6">
        <v>0.3</v>
      </c>
      <c r="O14" s="6">
        <v>0.3</v>
      </c>
      <c r="P14" s="6">
        <v>2</v>
      </c>
      <c r="Q14" s="4" t="s">
        <v>26</v>
      </c>
      <c r="R14" s="4">
        <v>0</v>
      </c>
      <c r="S14" s="4">
        <v>0</v>
      </c>
      <c r="T14" s="4">
        <v>16</v>
      </c>
      <c r="U14" s="4">
        <v>45</v>
      </c>
      <c r="V14" s="6">
        <f>IF(ISERROR(VLOOKUP($S$14,'TAR FIN'!$A$1:$O$85,15,0)),0,VLOOKUP($S$14,'TAR FIN'!$A$1:$O$85,15,0))</f>
        <v>0</v>
      </c>
      <c r="W14" s="6">
        <f>IF(ISERROR(VLOOKUP($T$14,'TAR FIN'!$A$1:$O$85,15,0)),0,VLOOKUP($T$14,'TAR FIN'!$A$1:$O$85,15,0))</f>
        <v>77.760000000000005</v>
      </c>
      <c r="X14" s="6">
        <f>IF(ISERROR(VLOOKUP($U$14,'TAR FIN'!$A$1:$O$85,15,0)),0,VLOOKUP($U$14,'TAR FIN'!$A$1:$O$85,15,0))</f>
        <v>108.67</v>
      </c>
      <c r="Y14" s="6"/>
      <c r="Z14" s="6">
        <f ca="1">('TUSD BE'!$AM$21+'TUSD BF'!$AM$21+'TUSD CVA'!$AM$21-('TUSD BE'!$P$21+'TUSD BF'!$P$21+'TUSD CVA'!$P$21)-('TUSD BE'!$Q$21+'TUSD BF'!$Q$21+'TUSD CVA'!$Q$21)-('TUSD BE'!$R$21+'TUSD BF'!$R$21+'TUSD CVA'!$R$21))*(1-CUSTOS!$M$34)</f>
        <v>74.925450583727937</v>
      </c>
      <c r="AA14" s="6">
        <f>('TE BE'!$AB$11+'TE BF'!$AB$11+'TE CVA'!$AB$11)*(1-CUSTOS!$M$34)</f>
        <v>77.627236916846073</v>
      </c>
      <c r="AB14" s="6">
        <f t="shared" si="0"/>
        <v>0</v>
      </c>
      <c r="AC14" s="6">
        <f>(L14-M14)*(W14+X14)+($W$39+$X$39-$W$14-$X$14)*(L14)</f>
        <v>103.87500000000001</v>
      </c>
      <c r="AD14" s="6">
        <f t="shared" si="1"/>
        <v>0</v>
      </c>
      <c r="AE14" s="6">
        <f ca="1">(L14-M14)*(Z14+AA14)+($Z$39+$AA$39-$Z$14-$AA$14)*(L14)</f>
        <v>84.993640178891241</v>
      </c>
      <c r="AF14" s="4" t="s">
        <v>569</v>
      </c>
    </row>
    <row r="15" spans="1:36" ht="11.25" customHeight="1" x14ac:dyDescent="0.3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28</v>
      </c>
      <c r="F15" s="4" t="s">
        <v>25</v>
      </c>
      <c r="G15" s="4" t="s">
        <v>25</v>
      </c>
      <c r="H15" s="4" t="s">
        <v>25</v>
      </c>
      <c r="I15" s="5">
        <v>44440</v>
      </c>
      <c r="J15" s="6">
        <v>0</v>
      </c>
      <c r="K15" s="6">
        <v>0</v>
      </c>
      <c r="L15" s="6">
        <v>0.13200000000000001</v>
      </c>
      <c r="M15" s="6">
        <v>0.13200000000000001</v>
      </c>
      <c r="N15" s="6">
        <v>0.13200000000000001</v>
      </c>
      <c r="O15" s="6">
        <v>0.13200000000000001</v>
      </c>
      <c r="P15" s="6">
        <v>1</v>
      </c>
      <c r="Q15" s="4" t="s">
        <v>26</v>
      </c>
      <c r="R15" s="4">
        <v>0</v>
      </c>
      <c r="S15" s="4">
        <v>0</v>
      </c>
      <c r="T15" s="4">
        <v>10</v>
      </c>
      <c r="U15" s="4">
        <v>56</v>
      </c>
      <c r="V15" s="6">
        <f>IF(ISERROR(VLOOKUP($S$15,'TAR FIN'!$A$1:$O$85,15,0)),0,VLOOKUP($S$15,'TAR FIN'!$A$1:$O$85,15,0))</f>
        <v>0</v>
      </c>
      <c r="W15" s="6">
        <f>IF(ISERROR(VLOOKUP($T$15,'TAR FIN'!$A$1:$O$85,15,0)),0,VLOOKUP($T$15,'TAR FIN'!$A$1:$O$85,15,0))</f>
        <v>133.31</v>
      </c>
      <c r="X15" s="6">
        <f>IF(ISERROR(VLOOKUP($U$15,'TAR FIN'!$A$1:$O$85,15,0)),0,VLOOKUP($U$15,'TAR FIN'!$A$1:$O$85,15,0))</f>
        <v>186.3</v>
      </c>
      <c r="Y15" s="6"/>
      <c r="Z15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15" s="6">
        <f>('TE BE'!$AB$12+'TE BF'!$AB$12+'TE CVA'!$AB$12)*(1-CUSTOS!$M$35)</f>
        <v>133.07526328602185</v>
      </c>
      <c r="AB15" s="6">
        <f t="shared" si="0"/>
        <v>0</v>
      </c>
      <c r="AC15" s="6">
        <f>(L15-M15)*(W15+X15)+($W$39+$X$39-$W$15-$X$15)*(L15)</f>
        <v>28.125240000000009</v>
      </c>
      <c r="AD15" s="6">
        <f t="shared" si="1"/>
        <v>0</v>
      </c>
      <c r="AE15" s="6">
        <f ca="1">(L15-M15)*(Z15+AA15)+($Z$39+$AA$39-$Z$15-$AA$15)*(L15)</f>
        <v>23.013662571515169</v>
      </c>
      <c r="AF15" s="4" t="s">
        <v>569</v>
      </c>
    </row>
    <row r="16" spans="1:36" ht="11.25" customHeight="1" x14ac:dyDescent="0.3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28</v>
      </c>
      <c r="F16" s="4" t="s">
        <v>25</v>
      </c>
      <c r="G16" s="4" t="s">
        <v>25</v>
      </c>
      <c r="H16" s="4" t="s">
        <v>25</v>
      </c>
      <c r="I16" s="5">
        <v>44470</v>
      </c>
      <c r="J16" s="6">
        <v>0</v>
      </c>
      <c r="K16" s="6">
        <v>0</v>
      </c>
      <c r="L16" s="6">
        <v>0.13300000000000001</v>
      </c>
      <c r="M16" s="6">
        <v>0.13300000000000001</v>
      </c>
      <c r="N16" s="6">
        <v>0.13300000000000001</v>
      </c>
      <c r="O16" s="6">
        <v>0.13300000000000001</v>
      </c>
      <c r="P16" s="6">
        <v>1</v>
      </c>
      <c r="Q16" s="4" t="s">
        <v>26</v>
      </c>
      <c r="R16" s="4">
        <v>0</v>
      </c>
      <c r="S16" s="4">
        <v>0</v>
      </c>
      <c r="T16" s="4">
        <v>10</v>
      </c>
      <c r="U16" s="4">
        <v>56</v>
      </c>
      <c r="V16" s="6">
        <f>IF(ISERROR(VLOOKUP($S$16,'TAR FIN'!$A$1:$O$85,15,0)),0,VLOOKUP($S$16,'TAR FIN'!$A$1:$O$85,15,0))</f>
        <v>0</v>
      </c>
      <c r="W16" s="6">
        <f>IF(ISERROR(VLOOKUP($T$16,'TAR FIN'!$A$1:$O$85,15,0)),0,VLOOKUP($T$16,'TAR FIN'!$A$1:$O$85,15,0))</f>
        <v>133.31</v>
      </c>
      <c r="X16" s="6">
        <f>IF(ISERROR(VLOOKUP($U$16,'TAR FIN'!$A$1:$O$85,15,0)),0,VLOOKUP($U$16,'TAR FIN'!$A$1:$O$85,15,0))</f>
        <v>186.3</v>
      </c>
      <c r="Y16" s="6"/>
      <c r="Z16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16" s="6">
        <f>('TE BE'!$AB$12+'TE BF'!$AB$12+'TE CVA'!$AB$12)*(1-CUSTOS!$M$35)</f>
        <v>133.07526328602185</v>
      </c>
      <c r="AB16" s="6">
        <f t="shared" si="0"/>
        <v>0</v>
      </c>
      <c r="AC16" s="6">
        <f>(L16-M16)*(W16+X16)+($W$39+$X$39-$W$16-$X$16)*(L16)</f>
        <v>28.338310000000007</v>
      </c>
      <c r="AD16" s="6">
        <f t="shared" si="1"/>
        <v>0</v>
      </c>
      <c r="AE16" s="6">
        <f ca="1">(L16-M16)*(Z16+AA16)+($Z$39+$AA$39-$Z$16-$AA$16)*(L16)</f>
        <v>23.188008500087253</v>
      </c>
      <c r="AF16" s="4" t="s">
        <v>569</v>
      </c>
    </row>
    <row r="17" spans="1:32" ht="11.25" customHeight="1" x14ac:dyDescent="0.3">
      <c r="A17" s="4" t="s">
        <v>21</v>
      </c>
      <c r="B17" s="4" t="s">
        <v>22</v>
      </c>
      <c r="C17" s="4" t="s">
        <v>23</v>
      </c>
      <c r="D17" s="4" t="s">
        <v>24</v>
      </c>
      <c r="E17" s="4" t="s">
        <v>28</v>
      </c>
      <c r="F17" s="4" t="s">
        <v>25</v>
      </c>
      <c r="G17" s="4" t="s">
        <v>25</v>
      </c>
      <c r="H17" s="4" t="s">
        <v>25</v>
      </c>
      <c r="I17" s="5">
        <v>44501</v>
      </c>
      <c r="J17" s="6">
        <v>0</v>
      </c>
      <c r="K17" s="6">
        <v>0</v>
      </c>
      <c r="L17" s="6">
        <v>0.21</v>
      </c>
      <c r="M17" s="6">
        <v>0.21</v>
      </c>
      <c r="N17" s="6">
        <v>0.21</v>
      </c>
      <c r="O17" s="6">
        <v>0.21</v>
      </c>
      <c r="P17" s="6">
        <v>0</v>
      </c>
      <c r="Q17" s="4" t="s">
        <v>26</v>
      </c>
      <c r="R17" s="4">
        <v>0</v>
      </c>
      <c r="S17" s="4">
        <v>0</v>
      </c>
      <c r="T17" s="4">
        <v>10</v>
      </c>
      <c r="U17" s="4">
        <v>56</v>
      </c>
      <c r="V17" s="6">
        <f>IF(ISERROR(VLOOKUP($S$17,'TAR FIN'!$A$1:$O$85,15,0)),0,VLOOKUP($S$17,'TAR FIN'!$A$1:$O$85,15,0))</f>
        <v>0</v>
      </c>
      <c r="W17" s="6">
        <f>IF(ISERROR(VLOOKUP($T$17,'TAR FIN'!$A$1:$O$85,15,0)),0,VLOOKUP($T$17,'TAR FIN'!$A$1:$O$85,15,0))</f>
        <v>133.31</v>
      </c>
      <c r="X17" s="6">
        <f>IF(ISERROR(VLOOKUP($U$17,'TAR FIN'!$A$1:$O$85,15,0)),0,VLOOKUP($U$17,'TAR FIN'!$A$1:$O$85,15,0))</f>
        <v>186.3</v>
      </c>
      <c r="Y17" s="6"/>
      <c r="Z17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17" s="6">
        <f>('TE BE'!$AB$12+'TE BF'!$AB$12+'TE CVA'!$AB$12)*(1-CUSTOS!$M$35)</f>
        <v>133.07526328602185</v>
      </c>
      <c r="AB17" s="6">
        <f t="shared" si="0"/>
        <v>0</v>
      </c>
      <c r="AC17" s="6">
        <f>(L17-M17)*(W17+X17)+($W$39+$X$39-$W$17-$X$17)*(L17)</f>
        <v>44.744700000000009</v>
      </c>
      <c r="AD17" s="6">
        <f t="shared" si="1"/>
        <v>0</v>
      </c>
      <c r="AE17" s="6">
        <f ca="1">(L17-M17)*(Z17+AA17)+($Z$39+$AA$39-$Z$17-$AA$17)*(L17)</f>
        <v>36.612645000137768</v>
      </c>
      <c r="AF17" s="4" t="s">
        <v>569</v>
      </c>
    </row>
    <row r="18" spans="1:32" ht="11.25" customHeight="1" x14ac:dyDescent="0.3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28</v>
      </c>
      <c r="F18" s="4" t="s">
        <v>25</v>
      </c>
      <c r="G18" s="4" t="s">
        <v>25</v>
      </c>
      <c r="H18" s="4" t="s">
        <v>25</v>
      </c>
      <c r="I18" s="5">
        <v>44531</v>
      </c>
      <c r="J18" s="6">
        <v>0</v>
      </c>
      <c r="K18" s="6">
        <v>0</v>
      </c>
      <c r="L18" s="6">
        <v>0.21</v>
      </c>
      <c r="M18" s="6">
        <v>0.21</v>
      </c>
      <c r="N18" s="6">
        <v>0.21</v>
      </c>
      <c r="O18" s="6">
        <v>0.21</v>
      </c>
      <c r="P18" s="6">
        <v>0</v>
      </c>
      <c r="Q18" s="4" t="s">
        <v>26</v>
      </c>
      <c r="R18" s="4">
        <v>0</v>
      </c>
      <c r="S18" s="4">
        <v>0</v>
      </c>
      <c r="T18" s="4">
        <v>10</v>
      </c>
      <c r="U18" s="4">
        <v>56</v>
      </c>
      <c r="V18" s="6">
        <f>IF(ISERROR(VLOOKUP($S$18,'TAR FIN'!$A$1:$O$85,15,0)),0,VLOOKUP($S$18,'TAR FIN'!$A$1:$O$85,15,0))</f>
        <v>0</v>
      </c>
      <c r="W18" s="6">
        <f>IF(ISERROR(VLOOKUP($T$18,'TAR FIN'!$A$1:$O$85,15,0)),0,VLOOKUP($T$18,'TAR FIN'!$A$1:$O$85,15,0))</f>
        <v>133.31</v>
      </c>
      <c r="X18" s="6">
        <f>IF(ISERROR(VLOOKUP($U$18,'TAR FIN'!$A$1:$O$85,15,0)),0,VLOOKUP($U$18,'TAR FIN'!$A$1:$O$85,15,0))</f>
        <v>186.3</v>
      </c>
      <c r="Y18" s="6"/>
      <c r="Z18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18" s="6">
        <f>('TE BE'!$AB$12+'TE BF'!$AB$12+'TE CVA'!$AB$12)*(1-CUSTOS!$M$35)</f>
        <v>133.07526328602185</v>
      </c>
      <c r="AB18" s="6">
        <f t="shared" si="0"/>
        <v>0</v>
      </c>
      <c r="AC18" s="6">
        <f>(L18-M18)*(W18+X18)+($W$39+$X$39-$W$18-$X$18)*(L18)</f>
        <v>44.744700000000009</v>
      </c>
      <c r="AD18" s="6">
        <f t="shared" si="1"/>
        <v>0</v>
      </c>
      <c r="AE18" s="6">
        <f ca="1">(L18-M18)*(Z18+AA18)+($Z$39+$AA$39-$Z$18-$AA$18)*(L18)</f>
        <v>36.612645000137768</v>
      </c>
      <c r="AF18" s="4" t="s">
        <v>569</v>
      </c>
    </row>
    <row r="19" spans="1:32" ht="11.25" customHeight="1" x14ac:dyDescent="0.3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28</v>
      </c>
      <c r="F19" s="4" t="s">
        <v>25</v>
      </c>
      <c r="G19" s="4" t="s">
        <v>25</v>
      </c>
      <c r="H19" s="4" t="s">
        <v>25</v>
      </c>
      <c r="I19" s="5">
        <v>44562</v>
      </c>
      <c r="J19" s="6">
        <v>0</v>
      </c>
      <c r="K19" s="6">
        <v>0</v>
      </c>
      <c r="L19" s="6">
        <v>0.21</v>
      </c>
      <c r="M19" s="6">
        <v>0.21</v>
      </c>
      <c r="N19" s="6">
        <v>0.21</v>
      </c>
      <c r="O19" s="6">
        <v>0.21</v>
      </c>
      <c r="P19" s="6">
        <v>0</v>
      </c>
      <c r="Q19" s="4" t="s">
        <v>26</v>
      </c>
      <c r="R19" s="4">
        <v>0</v>
      </c>
      <c r="S19" s="4">
        <v>0</v>
      </c>
      <c r="T19" s="4">
        <v>10</v>
      </c>
      <c r="U19" s="4">
        <v>56</v>
      </c>
      <c r="V19" s="6">
        <f>IF(ISERROR(VLOOKUP($S$19,'TAR FIN'!$A$1:$O$85,15,0)),0,VLOOKUP($S$19,'TAR FIN'!$A$1:$O$85,15,0))</f>
        <v>0</v>
      </c>
      <c r="W19" s="6">
        <f>IF(ISERROR(VLOOKUP($T$19,'TAR FIN'!$A$1:$O$85,15,0)),0,VLOOKUP($T$19,'TAR FIN'!$A$1:$O$85,15,0))</f>
        <v>133.31</v>
      </c>
      <c r="X19" s="6">
        <f>IF(ISERROR(VLOOKUP($U$19,'TAR FIN'!$A$1:$O$85,15,0)),0,VLOOKUP($U$19,'TAR FIN'!$A$1:$O$85,15,0))</f>
        <v>186.3</v>
      </c>
      <c r="Y19" s="6"/>
      <c r="Z19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19" s="6">
        <f>('TE BE'!$AB$12+'TE BF'!$AB$12+'TE CVA'!$AB$12)*(1-CUSTOS!$M$35)</f>
        <v>133.07526328602185</v>
      </c>
      <c r="AB19" s="6">
        <f t="shared" si="0"/>
        <v>0</v>
      </c>
      <c r="AC19" s="6">
        <f>(L19-M19)*(W19+X19)+($W$39+$X$39-$W$19-$X$19)*(L19)</f>
        <v>44.744700000000009</v>
      </c>
      <c r="AD19" s="6">
        <f t="shared" si="1"/>
        <v>0</v>
      </c>
      <c r="AE19" s="6">
        <f ca="1">(L19-M19)*(Z19+AA19)+($Z$39+$AA$39-$Z$19-$AA$19)*(L19)</f>
        <v>36.612645000137768</v>
      </c>
      <c r="AF19" s="4" t="s">
        <v>569</v>
      </c>
    </row>
    <row r="20" spans="1:32" ht="11.25" customHeight="1" x14ac:dyDescent="0.3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28</v>
      </c>
      <c r="F20" s="4" t="s">
        <v>25</v>
      </c>
      <c r="G20" s="4" t="s">
        <v>25</v>
      </c>
      <c r="H20" s="4" t="s">
        <v>25</v>
      </c>
      <c r="I20" s="5">
        <v>44593</v>
      </c>
      <c r="J20" s="6">
        <v>0</v>
      </c>
      <c r="K20" s="6">
        <v>0</v>
      </c>
      <c r="L20" s="6">
        <v>0.42</v>
      </c>
      <c r="M20" s="6">
        <v>0.42</v>
      </c>
      <c r="N20" s="6">
        <v>0.42</v>
      </c>
      <c r="O20" s="6">
        <v>0.42</v>
      </c>
      <c r="P20" s="6">
        <v>0</v>
      </c>
      <c r="Q20" s="4" t="s">
        <v>26</v>
      </c>
      <c r="R20" s="4">
        <v>0</v>
      </c>
      <c r="S20" s="4">
        <v>0</v>
      </c>
      <c r="T20" s="4">
        <v>10</v>
      </c>
      <c r="U20" s="4">
        <v>56</v>
      </c>
      <c r="V20" s="6">
        <f>IF(ISERROR(VLOOKUP($S$20,'TAR FIN'!$A$1:$O$85,15,0)),0,VLOOKUP($S$20,'TAR FIN'!$A$1:$O$85,15,0))</f>
        <v>0</v>
      </c>
      <c r="W20" s="6">
        <f>IF(ISERROR(VLOOKUP($T$20,'TAR FIN'!$A$1:$O$85,15,0)),0,VLOOKUP($T$20,'TAR FIN'!$A$1:$O$85,15,0))</f>
        <v>133.31</v>
      </c>
      <c r="X20" s="6">
        <f>IF(ISERROR(VLOOKUP($U$20,'TAR FIN'!$A$1:$O$85,15,0)),0,VLOOKUP($U$20,'TAR FIN'!$A$1:$O$85,15,0))</f>
        <v>186.3</v>
      </c>
      <c r="Y20" s="6"/>
      <c r="Z20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20" s="6">
        <f>('TE BE'!$AB$12+'TE BF'!$AB$12+'TE CVA'!$AB$12)*(1-CUSTOS!$M$35)</f>
        <v>133.07526328602185</v>
      </c>
      <c r="AB20" s="6">
        <f t="shared" si="0"/>
        <v>0</v>
      </c>
      <c r="AC20" s="6">
        <f>(L20-M20)*(W20+X20)+($W$39+$X$39-$W$20-$X$20)*(L20)</f>
        <v>89.489400000000018</v>
      </c>
      <c r="AD20" s="6">
        <f t="shared" si="1"/>
        <v>0</v>
      </c>
      <c r="AE20" s="6">
        <f ca="1">(L20-M20)*(Z20+AA20)+($Z$39+$AA$39-$Z$20-$AA$20)*(L20)</f>
        <v>73.225290000275535</v>
      </c>
      <c r="AF20" s="4" t="s">
        <v>569</v>
      </c>
    </row>
    <row r="21" spans="1:32" ht="11.25" customHeight="1" x14ac:dyDescent="0.3">
      <c r="A21" s="4" t="s">
        <v>21</v>
      </c>
      <c r="B21" s="4" t="s">
        <v>22</v>
      </c>
      <c r="C21" s="4" t="s">
        <v>23</v>
      </c>
      <c r="D21" s="4" t="s">
        <v>24</v>
      </c>
      <c r="E21" s="4" t="s">
        <v>28</v>
      </c>
      <c r="F21" s="4" t="s">
        <v>25</v>
      </c>
      <c r="G21" s="4" t="s">
        <v>25</v>
      </c>
      <c r="H21" s="4" t="s">
        <v>25</v>
      </c>
      <c r="I21" s="5">
        <v>44621</v>
      </c>
      <c r="J21" s="6">
        <v>0</v>
      </c>
      <c r="K21" s="6">
        <v>0</v>
      </c>
      <c r="L21" s="6">
        <v>0.56100000000000005</v>
      </c>
      <c r="M21" s="6">
        <v>0.56100000000000005</v>
      </c>
      <c r="N21" s="6">
        <v>0.56100000000000005</v>
      </c>
      <c r="O21" s="6">
        <v>0.56100000000000005</v>
      </c>
      <c r="P21" s="6">
        <v>1</v>
      </c>
      <c r="Q21" s="4" t="s">
        <v>26</v>
      </c>
      <c r="R21" s="4">
        <v>0</v>
      </c>
      <c r="S21" s="4">
        <v>0</v>
      </c>
      <c r="T21" s="4">
        <v>10</v>
      </c>
      <c r="U21" s="4">
        <v>56</v>
      </c>
      <c r="V21" s="6">
        <f>IF(ISERROR(VLOOKUP($S$21,'TAR FIN'!$A$1:$O$85,15,0)),0,VLOOKUP($S$21,'TAR FIN'!$A$1:$O$85,15,0))</f>
        <v>0</v>
      </c>
      <c r="W21" s="6">
        <f>IF(ISERROR(VLOOKUP($T$21,'TAR FIN'!$A$1:$O$85,15,0)),0,VLOOKUP($T$21,'TAR FIN'!$A$1:$O$85,15,0))</f>
        <v>133.31</v>
      </c>
      <c r="X21" s="6">
        <f>IF(ISERROR(VLOOKUP($U$21,'TAR FIN'!$A$1:$O$85,15,0)),0,VLOOKUP($U$21,'TAR FIN'!$A$1:$O$85,15,0))</f>
        <v>186.3</v>
      </c>
      <c r="Y21" s="6"/>
      <c r="Z21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21" s="6">
        <f>('TE BE'!$AB$12+'TE BF'!$AB$12+'TE CVA'!$AB$12)*(1-CUSTOS!$M$35)</f>
        <v>133.07526328602185</v>
      </c>
      <c r="AB21" s="6">
        <f t="shared" si="0"/>
        <v>0</v>
      </c>
      <c r="AC21" s="6">
        <f>(L21-M21)*(W21+X21)+($W$39+$X$39-$W$21-$X$21)*(L21)</f>
        <v>119.53227000000004</v>
      </c>
      <c r="AD21" s="6">
        <f t="shared" si="1"/>
        <v>0</v>
      </c>
      <c r="AE21" s="6">
        <f ca="1">(L21-M21)*(Z21+AA21)+($Z$39+$AA$39-$Z$21-$AA$21)*(L21)</f>
        <v>97.80806592893947</v>
      </c>
      <c r="AF21" s="4" t="s">
        <v>569</v>
      </c>
    </row>
    <row r="22" spans="1:32" ht="11.25" customHeight="1" x14ac:dyDescent="0.3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28</v>
      </c>
      <c r="F22" s="4" t="s">
        <v>25</v>
      </c>
      <c r="G22" s="4" t="s">
        <v>25</v>
      </c>
      <c r="H22" s="4" t="s">
        <v>25</v>
      </c>
      <c r="I22" s="5">
        <v>44652</v>
      </c>
      <c r="J22" s="6">
        <v>0</v>
      </c>
      <c r="K22" s="6">
        <v>0</v>
      </c>
      <c r="L22" s="6">
        <v>0.49199999999999999</v>
      </c>
      <c r="M22" s="6">
        <v>0.49199999999999999</v>
      </c>
      <c r="N22" s="6">
        <v>0.49199999999999999</v>
      </c>
      <c r="O22" s="6">
        <v>0.49199999999999999</v>
      </c>
      <c r="P22" s="6">
        <v>1</v>
      </c>
      <c r="Q22" s="4" t="s">
        <v>26</v>
      </c>
      <c r="R22" s="4">
        <v>0</v>
      </c>
      <c r="S22" s="4">
        <v>0</v>
      </c>
      <c r="T22" s="4">
        <v>10</v>
      </c>
      <c r="U22" s="4">
        <v>56</v>
      </c>
      <c r="V22" s="6">
        <f>IF(ISERROR(VLOOKUP($S$22,'TAR FIN'!$A$1:$O$85,15,0)),0,VLOOKUP($S$22,'TAR FIN'!$A$1:$O$85,15,0))</f>
        <v>0</v>
      </c>
      <c r="W22" s="6">
        <f>IF(ISERROR(VLOOKUP($T$22,'TAR FIN'!$A$1:$O$85,15,0)),0,VLOOKUP($T$22,'TAR FIN'!$A$1:$O$85,15,0))</f>
        <v>133.31</v>
      </c>
      <c r="X22" s="6">
        <f>IF(ISERROR(VLOOKUP($U$22,'TAR FIN'!$A$1:$O$85,15,0)),0,VLOOKUP($U$22,'TAR FIN'!$A$1:$O$85,15,0))</f>
        <v>186.3</v>
      </c>
      <c r="Y22" s="6"/>
      <c r="Z22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22" s="6">
        <f>('TE BE'!$AB$12+'TE BF'!$AB$12+'TE CVA'!$AB$12)*(1-CUSTOS!$M$35)</f>
        <v>133.07526328602185</v>
      </c>
      <c r="AB22" s="6">
        <f t="shared" si="0"/>
        <v>0</v>
      </c>
      <c r="AC22" s="6">
        <f>(L22-M22)*(W22+X22)+($W$39+$X$39-$W$22-$X$22)*(L22)</f>
        <v>104.83044000000002</v>
      </c>
      <c r="AD22" s="6">
        <f t="shared" si="1"/>
        <v>0</v>
      </c>
      <c r="AE22" s="6">
        <f ca="1">(L22-M22)*(Z22+AA22)+($Z$39+$AA$39-$Z$22-$AA$22)*(L22)</f>
        <v>85.778196857465616</v>
      </c>
      <c r="AF22" s="4" t="s">
        <v>569</v>
      </c>
    </row>
    <row r="23" spans="1:32" ht="11.25" customHeight="1" x14ac:dyDescent="0.3">
      <c r="A23" s="4" t="s">
        <v>21</v>
      </c>
      <c r="B23" s="4" t="s">
        <v>22</v>
      </c>
      <c r="C23" s="4" t="s">
        <v>23</v>
      </c>
      <c r="D23" s="4" t="s">
        <v>24</v>
      </c>
      <c r="E23" s="4" t="s">
        <v>28</v>
      </c>
      <c r="F23" s="4" t="s">
        <v>25</v>
      </c>
      <c r="G23" s="4" t="s">
        <v>25</v>
      </c>
      <c r="H23" s="4" t="s">
        <v>25</v>
      </c>
      <c r="I23" s="5">
        <v>44682</v>
      </c>
      <c r="J23" s="6">
        <v>0</v>
      </c>
      <c r="K23" s="6">
        <v>0</v>
      </c>
      <c r="L23" s="6">
        <v>0.495</v>
      </c>
      <c r="M23" s="6">
        <v>0.495</v>
      </c>
      <c r="N23" s="6">
        <v>0.495</v>
      </c>
      <c r="O23" s="6">
        <v>0.495</v>
      </c>
      <c r="P23" s="6">
        <v>1</v>
      </c>
      <c r="Q23" s="4" t="s">
        <v>26</v>
      </c>
      <c r="R23" s="4">
        <v>0</v>
      </c>
      <c r="S23" s="4">
        <v>0</v>
      </c>
      <c r="T23" s="4">
        <v>10</v>
      </c>
      <c r="U23" s="4">
        <v>56</v>
      </c>
      <c r="V23" s="6">
        <f>IF(ISERROR(VLOOKUP($S$23,'TAR FIN'!$A$1:$O$85,15,0)),0,VLOOKUP($S$23,'TAR FIN'!$A$1:$O$85,15,0))</f>
        <v>0</v>
      </c>
      <c r="W23" s="6">
        <f>IF(ISERROR(VLOOKUP($T$23,'TAR FIN'!$A$1:$O$85,15,0)),0,VLOOKUP($T$23,'TAR FIN'!$A$1:$O$85,15,0))</f>
        <v>133.31</v>
      </c>
      <c r="X23" s="6">
        <f>IF(ISERROR(VLOOKUP($U$23,'TAR FIN'!$A$1:$O$85,15,0)),0,VLOOKUP($U$23,'TAR FIN'!$A$1:$O$85,15,0))</f>
        <v>186.3</v>
      </c>
      <c r="Y23" s="6"/>
      <c r="Z23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23" s="6">
        <f>('TE BE'!$AB$12+'TE BF'!$AB$12+'TE CVA'!$AB$12)*(1-CUSTOS!$M$35)</f>
        <v>133.07526328602185</v>
      </c>
      <c r="AB23" s="6">
        <f t="shared" si="0"/>
        <v>0</v>
      </c>
      <c r="AC23" s="6">
        <f>(L23-M23)*(W23+X23)+($W$39+$X$39-$W$23-$X$23)*(L23)</f>
        <v>105.46965000000003</v>
      </c>
      <c r="AD23" s="6">
        <f t="shared" si="1"/>
        <v>0</v>
      </c>
      <c r="AE23" s="6">
        <f ca="1">(L23-M23)*(Z23+AA23)+($Z$39+$AA$39-$Z$23-$AA$23)*(L23)</f>
        <v>86.301234643181871</v>
      </c>
      <c r="AF23" s="4" t="s">
        <v>569</v>
      </c>
    </row>
    <row r="24" spans="1:32" ht="11.25" customHeight="1" x14ac:dyDescent="0.3">
      <c r="A24" s="4" t="s">
        <v>21</v>
      </c>
      <c r="B24" s="4" t="s">
        <v>22</v>
      </c>
      <c r="C24" s="4" t="s">
        <v>23</v>
      </c>
      <c r="D24" s="4" t="s">
        <v>24</v>
      </c>
      <c r="E24" s="4" t="s">
        <v>28</v>
      </c>
      <c r="F24" s="4" t="s">
        <v>25</v>
      </c>
      <c r="G24" s="4" t="s">
        <v>25</v>
      </c>
      <c r="H24" s="4" t="s">
        <v>25</v>
      </c>
      <c r="I24" s="5">
        <v>44713</v>
      </c>
      <c r="J24" s="6">
        <v>0</v>
      </c>
      <c r="K24" s="6">
        <v>0</v>
      </c>
      <c r="L24" s="6">
        <v>0.48099999999999998</v>
      </c>
      <c r="M24" s="6">
        <v>0.48099999999999998</v>
      </c>
      <c r="N24" s="6">
        <v>0.48099999999999998</v>
      </c>
      <c r="O24" s="6">
        <v>0.48099999999999998</v>
      </c>
      <c r="P24" s="6">
        <v>2</v>
      </c>
      <c r="Q24" s="4" t="s">
        <v>26</v>
      </c>
      <c r="R24" s="4">
        <v>0</v>
      </c>
      <c r="S24" s="4">
        <v>0</v>
      </c>
      <c r="T24" s="4">
        <v>10</v>
      </c>
      <c r="U24" s="4">
        <v>56</v>
      </c>
      <c r="V24" s="6">
        <f>IF(ISERROR(VLOOKUP($S$24,'TAR FIN'!$A$1:$O$85,15,0)),0,VLOOKUP($S$24,'TAR FIN'!$A$1:$O$85,15,0))</f>
        <v>0</v>
      </c>
      <c r="W24" s="6">
        <f>IF(ISERROR(VLOOKUP($T$24,'TAR FIN'!$A$1:$O$85,15,0)),0,VLOOKUP($T$24,'TAR FIN'!$A$1:$O$85,15,0))</f>
        <v>133.31</v>
      </c>
      <c r="X24" s="6">
        <f>IF(ISERROR(VLOOKUP($U$24,'TAR FIN'!$A$1:$O$85,15,0)),0,VLOOKUP($U$24,'TAR FIN'!$A$1:$O$85,15,0))</f>
        <v>186.3</v>
      </c>
      <c r="Y24" s="6"/>
      <c r="Z24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24" s="6">
        <f>('TE BE'!$AB$12+'TE BF'!$AB$12+'TE CVA'!$AB$12)*(1-CUSTOS!$M$35)</f>
        <v>133.07526328602185</v>
      </c>
      <c r="AB24" s="6">
        <f t="shared" si="0"/>
        <v>0</v>
      </c>
      <c r="AC24" s="6">
        <f>(L24-M24)*(W24+X24)+($W$39+$X$39-$W$24-$X$24)*(L24)</f>
        <v>102.48667000000002</v>
      </c>
      <c r="AD24" s="6">
        <f t="shared" si="1"/>
        <v>0</v>
      </c>
      <c r="AE24" s="6">
        <f ca="1">(L24-M24)*(Z24+AA24)+($Z$39+$AA$39-$Z$24-$AA$24)*(L24)</f>
        <v>83.86039164317269</v>
      </c>
      <c r="AF24" s="4" t="s">
        <v>569</v>
      </c>
    </row>
    <row r="25" spans="1:32" ht="11.25" customHeight="1" x14ac:dyDescent="0.3">
      <c r="A25" s="4" t="s">
        <v>21</v>
      </c>
      <c r="B25" s="4" t="s">
        <v>22</v>
      </c>
      <c r="C25" s="4" t="s">
        <v>23</v>
      </c>
      <c r="D25" s="4" t="s">
        <v>24</v>
      </c>
      <c r="E25" s="4" t="s">
        <v>28</v>
      </c>
      <c r="F25" s="4" t="s">
        <v>25</v>
      </c>
      <c r="G25" s="4" t="s">
        <v>25</v>
      </c>
      <c r="H25" s="4" t="s">
        <v>25</v>
      </c>
      <c r="I25" s="5">
        <v>44743</v>
      </c>
      <c r="J25" s="6">
        <v>0</v>
      </c>
      <c r="K25" s="6">
        <v>0</v>
      </c>
      <c r="L25" s="6">
        <v>0.48899999999999999</v>
      </c>
      <c r="M25" s="6">
        <v>0.48899999999999999</v>
      </c>
      <c r="N25" s="6">
        <v>0.48899999999999999</v>
      </c>
      <c r="O25" s="6">
        <v>0.48899999999999999</v>
      </c>
      <c r="P25" s="6">
        <v>2</v>
      </c>
      <c r="Q25" s="4" t="s">
        <v>26</v>
      </c>
      <c r="R25" s="4">
        <v>0</v>
      </c>
      <c r="S25" s="4">
        <v>0</v>
      </c>
      <c r="T25" s="4">
        <v>10</v>
      </c>
      <c r="U25" s="4">
        <v>56</v>
      </c>
      <c r="V25" s="6">
        <f>IF(ISERROR(VLOOKUP($S$25,'TAR FIN'!$A$1:$O$85,15,0)),0,VLOOKUP($S$25,'TAR FIN'!$A$1:$O$85,15,0))</f>
        <v>0</v>
      </c>
      <c r="W25" s="6">
        <f>IF(ISERROR(VLOOKUP($T$25,'TAR FIN'!$A$1:$O$85,15,0)),0,VLOOKUP($T$25,'TAR FIN'!$A$1:$O$85,15,0))</f>
        <v>133.31</v>
      </c>
      <c r="X25" s="6">
        <f>IF(ISERROR(VLOOKUP($U$25,'TAR FIN'!$A$1:$O$85,15,0)),0,VLOOKUP($U$25,'TAR FIN'!$A$1:$O$85,15,0))</f>
        <v>186.3</v>
      </c>
      <c r="Y25" s="6"/>
      <c r="Z25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25" s="6">
        <f>('TE BE'!$AB$12+'TE BF'!$AB$12+'TE CVA'!$AB$12)*(1-CUSTOS!$M$35)</f>
        <v>133.07526328602185</v>
      </c>
      <c r="AB25" s="6">
        <f t="shared" si="0"/>
        <v>0</v>
      </c>
      <c r="AC25" s="6">
        <f>(L25-M25)*(W25+X25)+($W$39+$X$39-$W$25-$X$25)*(L25)</f>
        <v>104.19123000000002</v>
      </c>
      <c r="AD25" s="6">
        <f t="shared" si="1"/>
        <v>0</v>
      </c>
      <c r="AE25" s="6">
        <f ca="1">(L25-M25)*(Z25+AA25)+($Z$39+$AA$39-$Z$25-$AA$25)*(L25)</f>
        <v>85.255159071749375</v>
      </c>
      <c r="AF25" s="4" t="s">
        <v>569</v>
      </c>
    </row>
    <row r="26" spans="1:32" ht="11.25" customHeight="1" x14ac:dyDescent="0.3">
      <c r="A26" s="4" t="s">
        <v>21</v>
      </c>
      <c r="B26" s="4" t="s">
        <v>22</v>
      </c>
      <c r="C26" s="4" t="s">
        <v>23</v>
      </c>
      <c r="D26" s="4" t="s">
        <v>24</v>
      </c>
      <c r="E26" s="4" t="s">
        <v>28</v>
      </c>
      <c r="F26" s="4" t="s">
        <v>25</v>
      </c>
      <c r="G26" s="4" t="s">
        <v>25</v>
      </c>
      <c r="H26" s="4" t="s">
        <v>25</v>
      </c>
      <c r="I26" s="5">
        <v>44774</v>
      </c>
      <c r="J26" s="6">
        <v>0</v>
      </c>
      <c r="K26" s="6">
        <v>0</v>
      </c>
      <c r="L26" s="6">
        <v>0.49399999999999999</v>
      </c>
      <c r="M26" s="6">
        <v>0.49399999999999999</v>
      </c>
      <c r="N26" s="6">
        <v>0.49399999999999999</v>
      </c>
      <c r="O26" s="6">
        <v>0.49399999999999999</v>
      </c>
      <c r="P26" s="6">
        <v>1</v>
      </c>
      <c r="Q26" s="4" t="s">
        <v>26</v>
      </c>
      <c r="R26" s="4">
        <v>0</v>
      </c>
      <c r="S26" s="4">
        <v>0</v>
      </c>
      <c r="T26" s="4">
        <v>10</v>
      </c>
      <c r="U26" s="4">
        <v>56</v>
      </c>
      <c r="V26" s="6">
        <f>IF(ISERROR(VLOOKUP($S$26,'TAR FIN'!$A$1:$O$85,15,0)),0,VLOOKUP($S$26,'TAR FIN'!$A$1:$O$85,15,0))</f>
        <v>0</v>
      </c>
      <c r="W26" s="6">
        <f>IF(ISERROR(VLOOKUP($T$26,'TAR FIN'!$A$1:$O$85,15,0)),0,VLOOKUP($T$26,'TAR FIN'!$A$1:$O$85,15,0))</f>
        <v>133.31</v>
      </c>
      <c r="X26" s="6">
        <f>IF(ISERROR(VLOOKUP($U$26,'TAR FIN'!$A$1:$O$85,15,0)),0,VLOOKUP($U$26,'TAR FIN'!$A$1:$O$85,15,0))</f>
        <v>186.3</v>
      </c>
      <c r="Y26" s="6"/>
      <c r="Z26" s="6">
        <f ca="1">('TUSD BE'!$AM$22+'TUSD BF'!$AM$22+'TUSD CVA'!$AM$22-('TUSD BE'!$P$22+'TUSD BF'!$P$22+'TUSD CVA'!$P$22)-('TUSD BE'!$Q$22+'TUSD BF'!$Q$22+'TUSD CVA'!$Q$22)-('TUSD BE'!$R$22+'TUSD BF'!$R$22+'TUSD CVA'!$R$22))*(1-CUSTOS!$M$35)</f>
        <v>128.44362957210504</v>
      </c>
      <c r="AA26" s="6">
        <f>('TE BE'!$AB$12+'TE BF'!$AB$12+'TE CVA'!$AB$12)*(1-CUSTOS!$M$35)</f>
        <v>133.07526328602185</v>
      </c>
      <c r="AB26" s="6">
        <f t="shared" si="0"/>
        <v>0</v>
      </c>
      <c r="AC26" s="6">
        <f>(L26-M26)*(W26+X26)+($W$39+$X$39-$W$26-$X$26)*(L26)</f>
        <v>105.25658000000003</v>
      </c>
      <c r="AD26" s="6">
        <f t="shared" si="1"/>
        <v>0</v>
      </c>
      <c r="AE26" s="6">
        <f ca="1">(L26-M26)*(Z26+AA26)+($Z$39+$AA$39-$Z$26-$AA$26)*(L26)</f>
        <v>86.126888714609791</v>
      </c>
      <c r="AF26" s="4" t="s">
        <v>569</v>
      </c>
    </row>
    <row r="27" spans="1:32" ht="11.25" customHeight="1" x14ac:dyDescent="0.3">
      <c r="A27" s="4" t="s">
        <v>21</v>
      </c>
      <c r="B27" s="4" t="s">
        <v>22</v>
      </c>
      <c r="C27" s="4" t="s">
        <v>23</v>
      </c>
      <c r="D27" s="4" t="s">
        <v>24</v>
      </c>
      <c r="E27" s="4" t="s">
        <v>29</v>
      </c>
      <c r="F27" s="4" t="s">
        <v>25</v>
      </c>
      <c r="G27" s="4" t="s">
        <v>25</v>
      </c>
      <c r="H27" s="4" t="s">
        <v>25</v>
      </c>
      <c r="I27" s="5">
        <v>44440</v>
      </c>
      <c r="J27" s="6">
        <v>0</v>
      </c>
      <c r="K27" s="6">
        <v>0</v>
      </c>
      <c r="L27" s="6">
        <v>0.12</v>
      </c>
      <c r="M27" s="6">
        <v>0.12</v>
      </c>
      <c r="N27" s="6">
        <v>0.12</v>
      </c>
      <c r="O27" s="6">
        <v>0.12</v>
      </c>
      <c r="P27" s="6">
        <v>0</v>
      </c>
      <c r="Q27" s="4" t="s">
        <v>26</v>
      </c>
      <c r="R27" s="4">
        <v>0</v>
      </c>
      <c r="S27" s="4">
        <v>0</v>
      </c>
      <c r="T27" s="4">
        <v>42</v>
      </c>
      <c r="U27" s="4">
        <v>60</v>
      </c>
      <c r="V27" s="6">
        <f>IF(ISERROR(VLOOKUP($S$27,'TAR FIN'!$A$1:$O$85,15,0)),0,VLOOKUP($S$27,'TAR FIN'!$A$1:$O$85,15,0))</f>
        <v>0</v>
      </c>
      <c r="W27" s="6">
        <f>IF(ISERROR(VLOOKUP($T$27,'TAR FIN'!$A$1:$O$85,15,0)),0,VLOOKUP($T$27,'TAR FIN'!$A$1:$O$85,15,0))</f>
        <v>199.96</v>
      </c>
      <c r="X27" s="6">
        <f>IF(ISERROR(VLOOKUP($U$27,'TAR FIN'!$A$1:$O$85,15,0)),0,VLOOKUP($U$27,'TAR FIN'!$A$1:$O$85,15,0))</f>
        <v>279.45</v>
      </c>
      <c r="Y27" s="6"/>
      <c r="Z27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27" s="6">
        <f>('TE BE'!$AB$13+'TE BF'!$AB$13+'TE CVA'!$AB$13)*(1-CUSTOS!$M$36)</f>
        <v>199.61289492903279</v>
      </c>
      <c r="AB27" s="6">
        <f t="shared" si="0"/>
        <v>0</v>
      </c>
      <c r="AC27" s="6">
        <f>(L27-M27)*(W27+X27)+($W$39+$X$39-$W$27-$X$27)*(L27)</f>
        <v>6.3924000000000047</v>
      </c>
      <c r="AD27" s="6">
        <f t="shared" si="1"/>
        <v>0</v>
      </c>
      <c r="AE27" s="6">
        <f ca="1">(L27-M27)*(Z27+AA27)+($Z$39+$AA$39-$Z$27-$AA$27)*(L27)</f>
        <v>5.2303778571625319</v>
      </c>
      <c r="AF27" s="4" t="s">
        <v>569</v>
      </c>
    </row>
    <row r="28" spans="1:32" ht="11.25" customHeight="1" x14ac:dyDescent="0.3">
      <c r="A28" s="4" t="s">
        <v>21</v>
      </c>
      <c r="B28" s="4" t="s">
        <v>22</v>
      </c>
      <c r="C28" s="4" t="s">
        <v>23</v>
      </c>
      <c r="D28" s="4" t="s">
        <v>24</v>
      </c>
      <c r="E28" s="4" t="s">
        <v>29</v>
      </c>
      <c r="F28" s="4" t="s">
        <v>25</v>
      </c>
      <c r="G28" s="4" t="s">
        <v>25</v>
      </c>
      <c r="H28" s="4" t="s">
        <v>25</v>
      </c>
      <c r="I28" s="5">
        <v>44470</v>
      </c>
      <c r="J28" s="6">
        <v>0</v>
      </c>
      <c r="K28" s="6">
        <v>0</v>
      </c>
      <c r="L28" s="6">
        <v>0.106</v>
      </c>
      <c r="M28" s="6">
        <v>0.106</v>
      </c>
      <c r="N28" s="6">
        <v>0.106</v>
      </c>
      <c r="O28" s="6">
        <v>0.106</v>
      </c>
      <c r="P28" s="6">
        <v>1</v>
      </c>
      <c r="Q28" s="4" t="s">
        <v>26</v>
      </c>
      <c r="R28" s="4">
        <v>0</v>
      </c>
      <c r="S28" s="4">
        <v>0</v>
      </c>
      <c r="T28" s="4">
        <v>42</v>
      </c>
      <c r="U28" s="4">
        <v>60</v>
      </c>
      <c r="V28" s="6">
        <f>IF(ISERROR(VLOOKUP($S$28,'TAR FIN'!$A$1:$O$85,15,0)),0,VLOOKUP($S$28,'TAR FIN'!$A$1:$O$85,15,0))</f>
        <v>0</v>
      </c>
      <c r="W28" s="6">
        <f>IF(ISERROR(VLOOKUP($T$28,'TAR FIN'!$A$1:$O$85,15,0)),0,VLOOKUP($T$28,'TAR FIN'!$A$1:$O$85,15,0))</f>
        <v>199.96</v>
      </c>
      <c r="X28" s="6">
        <f>IF(ISERROR(VLOOKUP($U$28,'TAR FIN'!$A$1:$O$85,15,0)),0,VLOOKUP($U$28,'TAR FIN'!$A$1:$O$85,15,0))</f>
        <v>279.45</v>
      </c>
      <c r="Y28" s="6"/>
      <c r="Z28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28" s="6">
        <f>('TE BE'!$AB$13+'TE BF'!$AB$13+'TE CVA'!$AB$13)*(1-CUSTOS!$M$36)</f>
        <v>199.61289492903279</v>
      </c>
      <c r="AB28" s="6">
        <f t="shared" si="0"/>
        <v>0</v>
      </c>
      <c r="AC28" s="6">
        <f>(L28-M28)*(W28+X28)+($W$39+$X$39-$W$28-$X$28)*(L28)</f>
        <v>5.646620000000004</v>
      </c>
      <c r="AD28" s="6">
        <f t="shared" si="1"/>
        <v>0</v>
      </c>
      <c r="AE28" s="6">
        <f ca="1">(L28-M28)*(Z28+AA28)+($Z$39+$AA$39-$Z$28-$AA$28)*(L28)</f>
        <v>4.6201671071602366</v>
      </c>
      <c r="AF28" s="4" t="s">
        <v>569</v>
      </c>
    </row>
    <row r="29" spans="1:32" ht="11.25" customHeight="1" x14ac:dyDescent="0.3">
      <c r="A29" s="4" t="s">
        <v>21</v>
      </c>
      <c r="B29" s="4" t="s">
        <v>22</v>
      </c>
      <c r="C29" s="4" t="s">
        <v>23</v>
      </c>
      <c r="D29" s="4" t="s">
        <v>24</v>
      </c>
      <c r="E29" s="4" t="s">
        <v>29</v>
      </c>
      <c r="F29" s="4" t="s">
        <v>25</v>
      </c>
      <c r="G29" s="4" t="s">
        <v>25</v>
      </c>
      <c r="H29" s="4" t="s">
        <v>25</v>
      </c>
      <c r="I29" s="5">
        <v>44501</v>
      </c>
      <c r="J29" s="6">
        <v>0</v>
      </c>
      <c r="K29" s="6">
        <v>0</v>
      </c>
      <c r="L29" s="6">
        <v>0.215</v>
      </c>
      <c r="M29" s="6">
        <v>0.215</v>
      </c>
      <c r="N29" s="6">
        <v>0.215</v>
      </c>
      <c r="O29" s="6">
        <v>0.215</v>
      </c>
      <c r="P29" s="6">
        <v>3</v>
      </c>
      <c r="Q29" s="4" t="s">
        <v>26</v>
      </c>
      <c r="R29" s="4">
        <v>0</v>
      </c>
      <c r="S29" s="4">
        <v>0</v>
      </c>
      <c r="T29" s="4">
        <v>42</v>
      </c>
      <c r="U29" s="4">
        <v>60</v>
      </c>
      <c r="V29" s="6">
        <f>IF(ISERROR(VLOOKUP($S$29,'TAR FIN'!$A$1:$O$85,15,0)),0,VLOOKUP($S$29,'TAR FIN'!$A$1:$O$85,15,0))</f>
        <v>0</v>
      </c>
      <c r="W29" s="6">
        <f>IF(ISERROR(VLOOKUP($T$29,'TAR FIN'!$A$1:$O$85,15,0)),0,VLOOKUP($T$29,'TAR FIN'!$A$1:$O$85,15,0))</f>
        <v>199.96</v>
      </c>
      <c r="X29" s="6">
        <f>IF(ISERROR(VLOOKUP($U$29,'TAR FIN'!$A$1:$O$85,15,0)),0,VLOOKUP($U$29,'TAR FIN'!$A$1:$O$85,15,0))</f>
        <v>279.45</v>
      </c>
      <c r="Y29" s="6"/>
      <c r="Z29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29" s="6">
        <f>('TE BE'!$AB$13+'TE BF'!$AB$13+'TE CVA'!$AB$13)*(1-CUSTOS!$M$36)</f>
        <v>199.61289492903279</v>
      </c>
      <c r="AB29" s="6">
        <f t="shared" si="0"/>
        <v>0</v>
      </c>
      <c r="AC29" s="6">
        <f>(L29-M29)*(W29+X29)+($W$39+$X$39-$W$29-$X$29)*(L29)</f>
        <v>11.453050000000008</v>
      </c>
      <c r="AD29" s="6">
        <f t="shared" si="1"/>
        <v>0</v>
      </c>
      <c r="AE29" s="6">
        <f ca="1">(L29-M29)*(Z29+AA29)+($Z$39+$AA$39-$Z$29-$AA$29)*(L29)</f>
        <v>9.371093660749537</v>
      </c>
      <c r="AF29" s="4" t="s">
        <v>569</v>
      </c>
    </row>
    <row r="30" spans="1:32" ht="11.25" customHeight="1" x14ac:dyDescent="0.3">
      <c r="A30" s="4" t="s">
        <v>21</v>
      </c>
      <c r="B30" s="4" t="s">
        <v>22</v>
      </c>
      <c r="C30" s="4" t="s">
        <v>23</v>
      </c>
      <c r="D30" s="4" t="s">
        <v>24</v>
      </c>
      <c r="E30" s="4" t="s">
        <v>29</v>
      </c>
      <c r="F30" s="4" t="s">
        <v>25</v>
      </c>
      <c r="G30" s="4" t="s">
        <v>25</v>
      </c>
      <c r="H30" s="4" t="s">
        <v>25</v>
      </c>
      <c r="I30" s="5">
        <v>44531</v>
      </c>
      <c r="J30" s="6">
        <v>0</v>
      </c>
      <c r="K30" s="6">
        <v>0</v>
      </c>
      <c r="L30" s="6">
        <v>0.215</v>
      </c>
      <c r="M30" s="6">
        <v>0.215</v>
      </c>
      <c r="N30" s="6">
        <v>0.215</v>
      </c>
      <c r="O30" s="6">
        <v>0.215</v>
      </c>
      <c r="P30" s="6">
        <v>2</v>
      </c>
      <c r="Q30" s="4" t="s">
        <v>26</v>
      </c>
      <c r="R30" s="4">
        <v>0</v>
      </c>
      <c r="S30" s="4">
        <v>0</v>
      </c>
      <c r="T30" s="4">
        <v>42</v>
      </c>
      <c r="U30" s="4">
        <v>60</v>
      </c>
      <c r="V30" s="6">
        <f>IF(ISERROR(VLOOKUP($S$30,'TAR FIN'!$A$1:$O$85,15,0)),0,VLOOKUP($S$30,'TAR FIN'!$A$1:$O$85,15,0))</f>
        <v>0</v>
      </c>
      <c r="W30" s="6">
        <f>IF(ISERROR(VLOOKUP($T$30,'TAR FIN'!$A$1:$O$85,15,0)),0,VLOOKUP($T$30,'TAR FIN'!$A$1:$O$85,15,0))</f>
        <v>199.96</v>
      </c>
      <c r="X30" s="6">
        <f>IF(ISERROR(VLOOKUP($U$30,'TAR FIN'!$A$1:$O$85,15,0)),0,VLOOKUP($U$30,'TAR FIN'!$A$1:$O$85,15,0))</f>
        <v>279.45</v>
      </c>
      <c r="Y30" s="6"/>
      <c r="Z30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30" s="6">
        <f>('TE BE'!$AB$13+'TE BF'!$AB$13+'TE CVA'!$AB$13)*(1-CUSTOS!$M$36)</f>
        <v>199.61289492903279</v>
      </c>
      <c r="AB30" s="6">
        <f t="shared" si="0"/>
        <v>0</v>
      </c>
      <c r="AC30" s="6">
        <f>(L30-M30)*(W30+X30)+($W$39+$X$39-$W$30-$X$30)*(L30)</f>
        <v>11.453050000000008</v>
      </c>
      <c r="AD30" s="6">
        <f t="shared" si="1"/>
        <v>0</v>
      </c>
      <c r="AE30" s="6">
        <f ca="1">(L30-M30)*(Z30+AA30)+($Z$39+$AA$39-$Z$30-$AA$30)*(L30)</f>
        <v>9.371093660749537</v>
      </c>
      <c r="AF30" s="4" t="s">
        <v>569</v>
      </c>
    </row>
    <row r="31" spans="1:32" ht="11.25" customHeight="1" x14ac:dyDescent="0.3">
      <c r="A31" s="4" t="s">
        <v>21</v>
      </c>
      <c r="B31" s="4" t="s">
        <v>22</v>
      </c>
      <c r="C31" s="4" t="s">
        <v>23</v>
      </c>
      <c r="D31" s="4" t="s">
        <v>24</v>
      </c>
      <c r="E31" s="4" t="s">
        <v>29</v>
      </c>
      <c r="F31" s="4" t="s">
        <v>25</v>
      </c>
      <c r="G31" s="4" t="s">
        <v>25</v>
      </c>
      <c r="H31" s="4" t="s">
        <v>25</v>
      </c>
      <c r="I31" s="5">
        <v>44562</v>
      </c>
      <c r="J31" s="6">
        <v>0</v>
      </c>
      <c r="K31" s="6">
        <v>0</v>
      </c>
      <c r="L31" s="6">
        <v>0.29799999999999999</v>
      </c>
      <c r="M31" s="6">
        <v>0.29799999999999999</v>
      </c>
      <c r="N31" s="6">
        <v>0.29799999999999999</v>
      </c>
      <c r="O31" s="6">
        <v>0.29799999999999999</v>
      </c>
      <c r="P31" s="6">
        <v>1</v>
      </c>
      <c r="Q31" s="4" t="s">
        <v>26</v>
      </c>
      <c r="R31" s="4">
        <v>0</v>
      </c>
      <c r="S31" s="4">
        <v>0</v>
      </c>
      <c r="T31" s="4">
        <v>42</v>
      </c>
      <c r="U31" s="4">
        <v>60</v>
      </c>
      <c r="V31" s="6">
        <f>IF(ISERROR(VLOOKUP($S$31,'TAR FIN'!$A$1:$O$85,15,0)),0,VLOOKUP($S$31,'TAR FIN'!$A$1:$O$85,15,0))</f>
        <v>0</v>
      </c>
      <c r="W31" s="6">
        <f>IF(ISERROR(VLOOKUP($T$31,'TAR FIN'!$A$1:$O$85,15,0)),0,VLOOKUP($T$31,'TAR FIN'!$A$1:$O$85,15,0))</f>
        <v>199.96</v>
      </c>
      <c r="X31" s="6">
        <f>IF(ISERROR(VLOOKUP($U$31,'TAR FIN'!$A$1:$O$85,15,0)),0,VLOOKUP($U$31,'TAR FIN'!$A$1:$O$85,15,0))</f>
        <v>279.45</v>
      </c>
      <c r="Y31" s="6"/>
      <c r="Z31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31" s="6">
        <f>('TE BE'!$AB$13+'TE BF'!$AB$13+'TE CVA'!$AB$13)*(1-CUSTOS!$M$36)</f>
        <v>199.61289492903279</v>
      </c>
      <c r="AB31" s="6">
        <f t="shared" si="0"/>
        <v>0</v>
      </c>
      <c r="AC31" s="6">
        <f>(L31-M31)*(W31+X31)+($W$39+$X$39-$W$31-$X$31)*(L31)</f>
        <v>15.874460000000012</v>
      </c>
      <c r="AD31" s="6">
        <f t="shared" si="1"/>
        <v>0</v>
      </c>
      <c r="AE31" s="6">
        <f ca="1">(L31-M31)*(Z31+AA31)+($Z$39+$AA$39-$Z$31-$AA$31)*(L31)</f>
        <v>12.988771678620287</v>
      </c>
      <c r="AF31" s="4" t="s">
        <v>569</v>
      </c>
    </row>
    <row r="32" spans="1:32" ht="11.25" customHeight="1" x14ac:dyDescent="0.3">
      <c r="A32" s="4" t="s">
        <v>21</v>
      </c>
      <c r="B32" s="4" t="s">
        <v>22</v>
      </c>
      <c r="C32" s="4" t="s">
        <v>23</v>
      </c>
      <c r="D32" s="4" t="s">
        <v>24</v>
      </c>
      <c r="E32" s="4" t="s">
        <v>29</v>
      </c>
      <c r="F32" s="4" t="s">
        <v>25</v>
      </c>
      <c r="G32" s="4" t="s">
        <v>25</v>
      </c>
      <c r="H32" s="4" t="s">
        <v>25</v>
      </c>
      <c r="I32" s="5">
        <v>44593</v>
      </c>
      <c r="J32" s="6">
        <v>0</v>
      </c>
      <c r="K32" s="6">
        <v>0</v>
      </c>
      <c r="L32" s="6">
        <v>0.56499999999999995</v>
      </c>
      <c r="M32" s="6">
        <v>0.56499999999999995</v>
      </c>
      <c r="N32" s="6">
        <v>0.56499999999999995</v>
      </c>
      <c r="O32" s="6">
        <v>0.56499999999999995</v>
      </c>
      <c r="P32" s="6">
        <v>4</v>
      </c>
      <c r="Q32" s="4" t="s">
        <v>26</v>
      </c>
      <c r="R32" s="4">
        <v>0</v>
      </c>
      <c r="S32" s="4">
        <v>0</v>
      </c>
      <c r="T32" s="4">
        <v>42</v>
      </c>
      <c r="U32" s="4">
        <v>60</v>
      </c>
      <c r="V32" s="6">
        <f>IF(ISERROR(VLOOKUP($S$32,'TAR FIN'!$A$1:$O$85,15,0)),0,VLOOKUP($S$32,'TAR FIN'!$A$1:$O$85,15,0))</f>
        <v>0</v>
      </c>
      <c r="W32" s="6">
        <f>IF(ISERROR(VLOOKUP($T$32,'TAR FIN'!$A$1:$O$85,15,0)),0,VLOOKUP($T$32,'TAR FIN'!$A$1:$O$85,15,0))</f>
        <v>199.96</v>
      </c>
      <c r="X32" s="6">
        <f>IF(ISERROR(VLOOKUP($U$32,'TAR FIN'!$A$1:$O$85,15,0)),0,VLOOKUP($U$32,'TAR FIN'!$A$1:$O$85,15,0))</f>
        <v>279.45</v>
      </c>
      <c r="Y32" s="6"/>
      <c r="Z32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32" s="6">
        <f>('TE BE'!$AB$13+'TE BF'!$AB$13+'TE CVA'!$AB$13)*(1-CUSTOS!$M$36)</f>
        <v>199.61289492903279</v>
      </c>
      <c r="AB32" s="6">
        <f t="shared" si="0"/>
        <v>0</v>
      </c>
      <c r="AC32" s="6">
        <f>(L32-M32)*(W32+X32)+($W$39+$X$39-$W$32-$X$32)*(L32)</f>
        <v>30.09755000000002</v>
      </c>
      <c r="AD32" s="6">
        <f t="shared" si="1"/>
        <v>0</v>
      </c>
      <c r="AE32" s="6">
        <f ca="1">(L32-M32)*(Z32+AA32)+($Z$39+$AA$39-$Z$32-$AA$32)*(L32)</f>
        <v>24.626362410806919</v>
      </c>
      <c r="AF32" s="4" t="s">
        <v>569</v>
      </c>
    </row>
    <row r="33" spans="1:32" ht="11.25" customHeight="1" x14ac:dyDescent="0.3">
      <c r="A33" s="4" t="s">
        <v>21</v>
      </c>
      <c r="B33" s="4" t="s">
        <v>22</v>
      </c>
      <c r="C33" s="4" t="s">
        <v>23</v>
      </c>
      <c r="D33" s="4" t="s">
        <v>24</v>
      </c>
      <c r="E33" s="4" t="s">
        <v>29</v>
      </c>
      <c r="F33" s="4" t="s">
        <v>25</v>
      </c>
      <c r="G33" s="4" t="s">
        <v>25</v>
      </c>
      <c r="H33" s="4" t="s">
        <v>25</v>
      </c>
      <c r="I33" s="5">
        <v>44621</v>
      </c>
      <c r="J33" s="6">
        <v>0</v>
      </c>
      <c r="K33" s="6">
        <v>0</v>
      </c>
      <c r="L33" s="6">
        <v>0.77600000000000002</v>
      </c>
      <c r="M33" s="6">
        <v>0.77600000000000002</v>
      </c>
      <c r="N33" s="6">
        <v>0.77600000000000002</v>
      </c>
      <c r="O33" s="6">
        <v>0.77600000000000002</v>
      </c>
      <c r="P33" s="6">
        <v>4</v>
      </c>
      <c r="Q33" s="4" t="s">
        <v>26</v>
      </c>
      <c r="R33" s="4">
        <v>0</v>
      </c>
      <c r="S33" s="4">
        <v>0</v>
      </c>
      <c r="T33" s="4">
        <v>42</v>
      </c>
      <c r="U33" s="4">
        <v>60</v>
      </c>
      <c r="V33" s="6">
        <f>IF(ISERROR(VLOOKUP($S$33,'TAR FIN'!$A$1:$O$85,15,0)),0,VLOOKUP($S$33,'TAR FIN'!$A$1:$O$85,15,0))</f>
        <v>0</v>
      </c>
      <c r="W33" s="6">
        <f>IF(ISERROR(VLOOKUP($T$33,'TAR FIN'!$A$1:$O$85,15,0)),0,VLOOKUP($T$33,'TAR FIN'!$A$1:$O$85,15,0))</f>
        <v>199.96</v>
      </c>
      <c r="X33" s="6">
        <f>IF(ISERROR(VLOOKUP($U$33,'TAR FIN'!$A$1:$O$85,15,0)),0,VLOOKUP($U$33,'TAR FIN'!$A$1:$O$85,15,0))</f>
        <v>279.45</v>
      </c>
      <c r="Y33" s="6"/>
      <c r="Z33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33" s="6">
        <f>('TE BE'!$AB$13+'TE BF'!$AB$13+'TE CVA'!$AB$13)*(1-CUSTOS!$M$36)</f>
        <v>199.61289492903279</v>
      </c>
      <c r="AB33" s="6">
        <f t="shared" si="0"/>
        <v>0</v>
      </c>
      <c r="AC33" s="6">
        <f>(L33-M33)*(W33+X33)+($W$39+$X$39-$W$33-$X$33)*(L33)</f>
        <v>41.337520000000033</v>
      </c>
      <c r="AD33" s="6">
        <f t="shared" si="1"/>
        <v>0</v>
      </c>
      <c r="AE33" s="6">
        <f ca="1">(L33-M33)*(Z33+AA33)+($Z$39+$AA$39-$Z$33-$AA$33)*(L33)</f>
        <v>33.823110142984376</v>
      </c>
      <c r="AF33" s="4" t="s">
        <v>569</v>
      </c>
    </row>
    <row r="34" spans="1:32" ht="11.25" customHeight="1" x14ac:dyDescent="0.3">
      <c r="A34" s="4" t="s">
        <v>21</v>
      </c>
      <c r="B34" s="4" t="s">
        <v>22</v>
      </c>
      <c r="C34" s="4" t="s">
        <v>23</v>
      </c>
      <c r="D34" s="4" t="s">
        <v>24</v>
      </c>
      <c r="E34" s="4" t="s">
        <v>29</v>
      </c>
      <c r="F34" s="4" t="s">
        <v>25</v>
      </c>
      <c r="G34" s="4" t="s">
        <v>25</v>
      </c>
      <c r="H34" s="4" t="s">
        <v>25</v>
      </c>
      <c r="I34" s="5">
        <v>44652</v>
      </c>
      <c r="J34" s="6">
        <v>0</v>
      </c>
      <c r="K34" s="6">
        <v>0</v>
      </c>
      <c r="L34" s="6">
        <v>0.66600000000000004</v>
      </c>
      <c r="M34" s="6">
        <v>0.66600000000000004</v>
      </c>
      <c r="N34" s="6">
        <v>0.66600000000000004</v>
      </c>
      <c r="O34" s="6">
        <v>0.66600000000000004</v>
      </c>
      <c r="P34" s="6">
        <v>5</v>
      </c>
      <c r="Q34" s="4" t="s">
        <v>26</v>
      </c>
      <c r="R34" s="4">
        <v>0</v>
      </c>
      <c r="S34" s="4">
        <v>0</v>
      </c>
      <c r="T34" s="4">
        <v>42</v>
      </c>
      <c r="U34" s="4">
        <v>60</v>
      </c>
      <c r="V34" s="6">
        <f>IF(ISERROR(VLOOKUP($S$34,'TAR FIN'!$A$1:$O$85,15,0)),0,VLOOKUP($S$34,'TAR FIN'!$A$1:$O$85,15,0))</f>
        <v>0</v>
      </c>
      <c r="W34" s="6">
        <f>IF(ISERROR(VLOOKUP($T$34,'TAR FIN'!$A$1:$O$85,15,0)),0,VLOOKUP($T$34,'TAR FIN'!$A$1:$O$85,15,0))</f>
        <v>199.96</v>
      </c>
      <c r="X34" s="6">
        <f>IF(ISERROR(VLOOKUP($U$34,'TAR FIN'!$A$1:$O$85,15,0)),0,VLOOKUP($U$34,'TAR FIN'!$A$1:$O$85,15,0))</f>
        <v>279.45</v>
      </c>
      <c r="Y34" s="6"/>
      <c r="Z34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34" s="6">
        <f>('TE BE'!$AB$13+'TE BF'!$AB$13+'TE CVA'!$AB$13)*(1-CUSTOS!$M$36)</f>
        <v>199.61289492903279</v>
      </c>
      <c r="AB34" s="6">
        <f t="shared" ref="AB34:AB65" si="4">(J34-K34)*V34</f>
        <v>0</v>
      </c>
      <c r="AC34" s="6">
        <f>(L34-M34)*(W34+X34)+($W$39+$X$39-$W$34-$X$34)*(L34)</f>
        <v>35.47782000000003</v>
      </c>
      <c r="AD34" s="6">
        <f t="shared" ref="AD34:AD65" si="5">(J34-K34)*Y34</f>
        <v>0</v>
      </c>
      <c r="AE34" s="6">
        <f ca="1">(L34-M34)*(Z34+AA34)+($Z$39+$AA$39-$Z$34-$AA$34)*(L34)</f>
        <v>29.028597107252054</v>
      </c>
      <c r="AF34" s="4" t="s">
        <v>569</v>
      </c>
    </row>
    <row r="35" spans="1:32" ht="11.25" customHeight="1" x14ac:dyDescent="0.3">
      <c r="A35" s="4" t="s">
        <v>21</v>
      </c>
      <c r="B35" s="4" t="s">
        <v>22</v>
      </c>
      <c r="C35" s="4" t="s">
        <v>23</v>
      </c>
      <c r="D35" s="4" t="s">
        <v>24</v>
      </c>
      <c r="E35" s="4" t="s">
        <v>29</v>
      </c>
      <c r="F35" s="4" t="s">
        <v>25</v>
      </c>
      <c r="G35" s="4" t="s">
        <v>25</v>
      </c>
      <c r="H35" s="4" t="s">
        <v>25</v>
      </c>
      <c r="I35" s="5">
        <v>44682</v>
      </c>
      <c r="J35" s="6">
        <v>0</v>
      </c>
      <c r="K35" s="6">
        <v>0</v>
      </c>
      <c r="L35" s="6">
        <v>0.71099999999999997</v>
      </c>
      <c r="M35" s="6">
        <v>0.71099999999999997</v>
      </c>
      <c r="N35" s="6">
        <v>0.71099999999999997</v>
      </c>
      <c r="O35" s="6">
        <v>0.71099999999999997</v>
      </c>
      <c r="P35" s="6">
        <v>3</v>
      </c>
      <c r="Q35" s="4" t="s">
        <v>26</v>
      </c>
      <c r="R35" s="4">
        <v>0</v>
      </c>
      <c r="S35" s="4">
        <v>0</v>
      </c>
      <c r="T35" s="4">
        <v>42</v>
      </c>
      <c r="U35" s="4">
        <v>60</v>
      </c>
      <c r="V35" s="6">
        <f>IF(ISERROR(VLOOKUP($S$35,'TAR FIN'!$A$1:$O$85,15,0)),0,VLOOKUP($S$35,'TAR FIN'!$A$1:$O$85,15,0))</f>
        <v>0</v>
      </c>
      <c r="W35" s="6">
        <f>IF(ISERROR(VLOOKUP($T$35,'TAR FIN'!$A$1:$O$85,15,0)),0,VLOOKUP($T$35,'TAR FIN'!$A$1:$O$85,15,0))</f>
        <v>199.96</v>
      </c>
      <c r="X35" s="6">
        <f>IF(ISERROR(VLOOKUP($U$35,'TAR FIN'!$A$1:$O$85,15,0)),0,VLOOKUP($U$35,'TAR FIN'!$A$1:$O$85,15,0))</f>
        <v>279.45</v>
      </c>
      <c r="Y35" s="6"/>
      <c r="Z35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35" s="6">
        <f>('TE BE'!$AB$13+'TE BF'!$AB$13+'TE CVA'!$AB$13)*(1-CUSTOS!$M$36)</f>
        <v>199.61289492903279</v>
      </c>
      <c r="AB35" s="6">
        <f t="shared" si="4"/>
        <v>0</v>
      </c>
      <c r="AC35" s="6">
        <f>(L35-M35)*(W35+X35)+($W$39+$X$39-$W$35-$X$35)*(L35)</f>
        <v>37.874970000000026</v>
      </c>
      <c r="AD35" s="6">
        <f t="shared" si="5"/>
        <v>0</v>
      </c>
      <c r="AE35" s="6">
        <f ca="1">(L35-M35)*(Z35+AA35)+($Z$39+$AA$39-$Z$35-$AA$35)*(L35)</f>
        <v>30.989988803688</v>
      </c>
      <c r="AF35" s="4" t="s">
        <v>569</v>
      </c>
    </row>
    <row r="36" spans="1:32" ht="11.25" customHeight="1" x14ac:dyDescent="0.3">
      <c r="A36" s="4" t="s">
        <v>21</v>
      </c>
      <c r="B36" s="4" t="s">
        <v>22</v>
      </c>
      <c r="C36" s="4" t="s">
        <v>23</v>
      </c>
      <c r="D36" s="4" t="s">
        <v>24</v>
      </c>
      <c r="E36" s="4" t="s">
        <v>29</v>
      </c>
      <c r="F36" s="4" t="s">
        <v>25</v>
      </c>
      <c r="G36" s="4" t="s">
        <v>25</v>
      </c>
      <c r="H36" s="4" t="s">
        <v>25</v>
      </c>
      <c r="I36" s="5">
        <v>44713</v>
      </c>
      <c r="J36" s="6">
        <v>0</v>
      </c>
      <c r="K36" s="6">
        <v>0</v>
      </c>
      <c r="L36" s="6">
        <v>0.69599999999999995</v>
      </c>
      <c r="M36" s="6">
        <v>0.69599999999999995</v>
      </c>
      <c r="N36" s="6">
        <v>0.69599999999999995</v>
      </c>
      <c r="O36" s="6">
        <v>0.69599999999999995</v>
      </c>
      <c r="P36" s="6">
        <v>2</v>
      </c>
      <c r="Q36" s="4" t="s">
        <v>26</v>
      </c>
      <c r="R36" s="4">
        <v>0</v>
      </c>
      <c r="S36" s="4">
        <v>0</v>
      </c>
      <c r="T36" s="4">
        <v>42</v>
      </c>
      <c r="U36" s="4">
        <v>60</v>
      </c>
      <c r="V36" s="6">
        <f>IF(ISERROR(VLOOKUP($S$36,'TAR FIN'!$A$1:$O$85,15,0)),0,VLOOKUP($S$36,'TAR FIN'!$A$1:$O$85,15,0))</f>
        <v>0</v>
      </c>
      <c r="W36" s="6">
        <f>IF(ISERROR(VLOOKUP($T$36,'TAR FIN'!$A$1:$O$85,15,0)),0,VLOOKUP($T$36,'TAR FIN'!$A$1:$O$85,15,0))</f>
        <v>199.96</v>
      </c>
      <c r="X36" s="6">
        <f>IF(ISERROR(VLOOKUP($U$36,'TAR FIN'!$A$1:$O$85,15,0)),0,VLOOKUP($U$36,'TAR FIN'!$A$1:$O$85,15,0))</f>
        <v>279.45</v>
      </c>
      <c r="Y36" s="6"/>
      <c r="Z36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36" s="6">
        <f>('TE BE'!$AB$13+'TE BF'!$AB$13+'TE CVA'!$AB$13)*(1-CUSTOS!$M$36)</f>
        <v>199.61289492903279</v>
      </c>
      <c r="AB36" s="6">
        <f t="shared" si="4"/>
        <v>0</v>
      </c>
      <c r="AC36" s="6">
        <f>(L36-M36)*(W36+X36)+($W$39+$X$39-$W$36-$X$36)*(L36)</f>
        <v>37.075920000000025</v>
      </c>
      <c r="AD36" s="6">
        <f t="shared" si="5"/>
        <v>0</v>
      </c>
      <c r="AE36" s="6">
        <f ca="1">(L36-M36)*(Z36+AA36)+($Z$39+$AA$39-$Z$36-$AA$36)*(L36)</f>
        <v>30.336191571542685</v>
      </c>
      <c r="AF36" s="4" t="s">
        <v>569</v>
      </c>
    </row>
    <row r="37" spans="1:32" ht="11.25" customHeight="1" x14ac:dyDescent="0.3">
      <c r="A37" s="4" t="s">
        <v>21</v>
      </c>
      <c r="B37" s="4" t="s">
        <v>22</v>
      </c>
      <c r="C37" s="4" t="s">
        <v>23</v>
      </c>
      <c r="D37" s="4" t="s">
        <v>24</v>
      </c>
      <c r="E37" s="4" t="s">
        <v>29</v>
      </c>
      <c r="F37" s="4" t="s">
        <v>25</v>
      </c>
      <c r="G37" s="4" t="s">
        <v>25</v>
      </c>
      <c r="H37" s="4" t="s">
        <v>25</v>
      </c>
      <c r="I37" s="5">
        <v>44743</v>
      </c>
      <c r="J37" s="6">
        <v>0</v>
      </c>
      <c r="K37" s="6">
        <v>0</v>
      </c>
      <c r="L37" s="6">
        <v>0.7</v>
      </c>
      <c r="M37" s="6">
        <v>0.7</v>
      </c>
      <c r="N37" s="6">
        <v>0.7</v>
      </c>
      <c r="O37" s="6">
        <v>0.7</v>
      </c>
      <c r="P37" s="6">
        <v>2</v>
      </c>
      <c r="Q37" s="4" t="s">
        <v>26</v>
      </c>
      <c r="R37" s="4">
        <v>0</v>
      </c>
      <c r="S37" s="4">
        <v>0</v>
      </c>
      <c r="T37" s="4">
        <v>42</v>
      </c>
      <c r="U37" s="4">
        <v>60</v>
      </c>
      <c r="V37" s="6">
        <f>IF(ISERROR(VLOOKUP($S$37,'TAR FIN'!$A$1:$O$85,15,0)),0,VLOOKUP($S$37,'TAR FIN'!$A$1:$O$85,15,0))</f>
        <v>0</v>
      </c>
      <c r="W37" s="6">
        <f>IF(ISERROR(VLOOKUP($T$37,'TAR FIN'!$A$1:$O$85,15,0)),0,VLOOKUP($T$37,'TAR FIN'!$A$1:$O$85,15,0))</f>
        <v>199.96</v>
      </c>
      <c r="X37" s="6">
        <f>IF(ISERROR(VLOOKUP($U$37,'TAR FIN'!$A$1:$O$85,15,0)),0,VLOOKUP($U$37,'TAR FIN'!$A$1:$O$85,15,0))</f>
        <v>279.45</v>
      </c>
      <c r="Y37" s="6"/>
      <c r="Z37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37" s="6">
        <f>('TE BE'!$AB$13+'TE BF'!$AB$13+'TE CVA'!$AB$13)*(1-CUSTOS!$M$36)</f>
        <v>199.61289492903279</v>
      </c>
      <c r="AB37" s="6">
        <f t="shared" si="4"/>
        <v>0</v>
      </c>
      <c r="AC37" s="6">
        <f>(L37-M37)*(W37+X37)+($W$39+$X$39-$W$37-$X$37)*(L37)</f>
        <v>37.289000000000023</v>
      </c>
      <c r="AD37" s="6">
        <f t="shared" si="5"/>
        <v>0</v>
      </c>
      <c r="AE37" s="6">
        <f ca="1">(L37-M37)*(Z37+AA37)+($Z$39+$AA$39-$Z$37-$AA$37)*(L37)</f>
        <v>30.510537500114769</v>
      </c>
      <c r="AF37" s="4" t="s">
        <v>569</v>
      </c>
    </row>
    <row r="38" spans="1:32" ht="11.25" customHeight="1" x14ac:dyDescent="0.3">
      <c r="A38" s="4" t="s">
        <v>21</v>
      </c>
      <c r="B38" s="4" t="s">
        <v>22</v>
      </c>
      <c r="C38" s="4" t="s">
        <v>23</v>
      </c>
      <c r="D38" s="4" t="s">
        <v>24</v>
      </c>
      <c r="E38" s="4" t="s">
        <v>29</v>
      </c>
      <c r="F38" s="4" t="s">
        <v>25</v>
      </c>
      <c r="G38" s="4" t="s">
        <v>25</v>
      </c>
      <c r="H38" s="4" t="s">
        <v>25</v>
      </c>
      <c r="I38" s="5">
        <v>44774</v>
      </c>
      <c r="J38" s="6">
        <v>0</v>
      </c>
      <c r="K38" s="6">
        <v>0</v>
      </c>
      <c r="L38" s="6">
        <v>0.72499999999999998</v>
      </c>
      <c r="M38" s="6">
        <v>0.72499999999999998</v>
      </c>
      <c r="N38" s="6">
        <v>0.72499999999999998</v>
      </c>
      <c r="O38" s="6">
        <v>0.72499999999999998</v>
      </c>
      <c r="P38" s="6">
        <v>1</v>
      </c>
      <c r="Q38" s="4" t="s">
        <v>26</v>
      </c>
      <c r="R38" s="4">
        <v>0</v>
      </c>
      <c r="S38" s="4">
        <v>0</v>
      </c>
      <c r="T38" s="4">
        <v>42</v>
      </c>
      <c r="U38" s="4">
        <v>60</v>
      </c>
      <c r="V38" s="6">
        <f>IF(ISERROR(VLOOKUP($S$38,'TAR FIN'!$A$1:$O$85,15,0)),0,VLOOKUP($S$38,'TAR FIN'!$A$1:$O$85,15,0))</f>
        <v>0</v>
      </c>
      <c r="W38" s="6">
        <f>IF(ISERROR(VLOOKUP($T$38,'TAR FIN'!$A$1:$O$85,15,0)),0,VLOOKUP($T$38,'TAR FIN'!$A$1:$O$85,15,0))</f>
        <v>199.96</v>
      </c>
      <c r="X38" s="6">
        <f>IF(ISERROR(VLOOKUP($U$38,'TAR FIN'!$A$1:$O$85,15,0)),0,VLOOKUP($U$38,'TAR FIN'!$A$1:$O$85,15,0))</f>
        <v>279.45</v>
      </c>
      <c r="Y38" s="6"/>
      <c r="Z38" s="6">
        <f ca="1">('TUSD BE'!$AM$23+'TUSD BF'!$AM$23+'TUSD CVA'!$AM$23-('TUSD BE'!$P$23+'TUSD BF'!$P$23+'TUSD CVA'!$P$23)-('TUSD BE'!$Q$23+'TUSD BF'!$Q$23+'TUSD CVA'!$Q$23)-('TUSD BE'!$R$23+'TUSD BF'!$R$23+'TUSD CVA'!$R$23))*(1-CUSTOS!$M$36)</f>
        <v>192.66544435815757</v>
      </c>
      <c r="AA38" s="6">
        <f>('TE BE'!$AB$13+'TE BF'!$AB$13+'TE CVA'!$AB$13)*(1-CUSTOS!$M$36)</f>
        <v>199.61289492903279</v>
      </c>
      <c r="AB38" s="6">
        <f t="shared" si="4"/>
        <v>0</v>
      </c>
      <c r="AC38" s="6">
        <f>(L38-M38)*(W38+X38)+($W$39+$X$39-$W$38-$X$38)*(L38)</f>
        <v>38.620750000000029</v>
      </c>
      <c r="AD38" s="6">
        <f t="shared" si="5"/>
        <v>0</v>
      </c>
      <c r="AE38" s="6">
        <f ca="1">(L38-M38)*(Z38+AA38)+($Z$39+$AA$39-$Z$38-$AA$38)*(L38)</f>
        <v>31.600199553690299</v>
      </c>
      <c r="AF38" s="4" t="s">
        <v>569</v>
      </c>
    </row>
    <row r="39" spans="1:32" ht="11.25" customHeight="1" x14ac:dyDescent="0.3">
      <c r="A39" s="4" t="s">
        <v>21</v>
      </c>
      <c r="B39" s="4" t="s">
        <v>22</v>
      </c>
      <c r="C39" s="4" t="s">
        <v>23</v>
      </c>
      <c r="D39" s="4" t="s">
        <v>24</v>
      </c>
      <c r="E39" s="4" t="s">
        <v>30</v>
      </c>
      <c r="F39" s="4" t="s">
        <v>25</v>
      </c>
      <c r="G39" s="4" t="s">
        <v>25</v>
      </c>
      <c r="H39" s="4" t="s">
        <v>25</v>
      </c>
      <c r="I39" s="5">
        <v>44440</v>
      </c>
      <c r="J39" s="6">
        <v>0</v>
      </c>
      <c r="K39" s="6">
        <v>0</v>
      </c>
      <c r="L39" s="6">
        <v>6.0000000000000001E-3</v>
      </c>
      <c r="M39" s="6">
        <v>6.0000000000000001E-3</v>
      </c>
      <c r="N39" s="6">
        <v>6.0000000000000001E-3</v>
      </c>
      <c r="O39" s="6">
        <v>6.0000000000000001E-3</v>
      </c>
      <c r="P39" s="6">
        <v>1</v>
      </c>
      <c r="Q39" s="4" t="s">
        <v>26</v>
      </c>
      <c r="R39" s="4">
        <v>0</v>
      </c>
      <c r="S39" s="4">
        <v>0</v>
      </c>
      <c r="T39" s="4">
        <v>22</v>
      </c>
      <c r="U39" s="4">
        <v>61</v>
      </c>
      <c r="V39" s="6">
        <f>IF(ISERROR(VLOOKUP($S$39,'TAR FIN'!$A$1:$O$85,15,0)),0,VLOOKUP($S$39,'TAR FIN'!$A$1:$O$85,15,0))</f>
        <v>0</v>
      </c>
      <c r="W39" s="6">
        <f>IF(ISERROR(VLOOKUP($T$39,'TAR FIN'!$A$1:$O$85,15,0)),0,VLOOKUP($T$39,'TAR FIN'!$A$1:$O$85,15,0))</f>
        <v>222.18</v>
      </c>
      <c r="X39" s="6">
        <f>IF(ISERROR(VLOOKUP($U$39,'TAR FIN'!$A$1:$O$85,15,0)),0,VLOOKUP($U$39,'TAR FIN'!$A$1:$O$85,15,0))</f>
        <v>310.5</v>
      </c>
      <c r="Y39" s="6"/>
      <c r="Z39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39" s="6">
        <f>('TE BE'!$AB$14+'TE BF'!$AB$14+'TE CVA'!$AB$14)*(1-CUSTOS!$M$37)</f>
        <v>221.79210547670309</v>
      </c>
      <c r="AB39" s="6">
        <f t="shared" si="4"/>
        <v>0</v>
      </c>
      <c r="AC39" s="6">
        <f>(L39-M39)*(W39+X39)+($W$39+$X$39-$W$39-$X$39)*(L39)</f>
        <v>3.410605131648481E-16</v>
      </c>
      <c r="AD39" s="6">
        <f t="shared" si="5"/>
        <v>0</v>
      </c>
      <c r="AE39" s="6">
        <f ca="1">(L39-M39)*(Z39+AA39)+($Z$39+$AA$39-$Z$39-$AA$39)*(L39)</f>
        <v>-1.7053025658242405E-16</v>
      </c>
      <c r="AF39" s="4" t="s">
        <v>569</v>
      </c>
    </row>
    <row r="40" spans="1:32" ht="11.25" customHeight="1" x14ac:dyDescent="0.3">
      <c r="A40" s="4" t="s">
        <v>21</v>
      </c>
      <c r="B40" s="4" t="s">
        <v>22</v>
      </c>
      <c r="C40" s="4" t="s">
        <v>23</v>
      </c>
      <c r="D40" s="4" t="s">
        <v>24</v>
      </c>
      <c r="E40" s="4" t="s">
        <v>30</v>
      </c>
      <c r="F40" s="4" t="s">
        <v>25</v>
      </c>
      <c r="G40" s="4" t="s">
        <v>25</v>
      </c>
      <c r="H40" s="4" t="s">
        <v>25</v>
      </c>
      <c r="I40" s="5">
        <v>44531</v>
      </c>
      <c r="J40" s="6">
        <v>0</v>
      </c>
      <c r="K40" s="6">
        <v>0</v>
      </c>
      <c r="L40" s="6">
        <v>1.2999999999999999E-2</v>
      </c>
      <c r="M40" s="6">
        <v>1.2999999999999999E-2</v>
      </c>
      <c r="N40" s="6">
        <v>1.2999999999999999E-2</v>
      </c>
      <c r="O40" s="6">
        <v>1.2999999999999999E-2</v>
      </c>
      <c r="P40" s="6">
        <v>1</v>
      </c>
      <c r="Q40" s="4" t="s">
        <v>26</v>
      </c>
      <c r="R40" s="4">
        <v>0</v>
      </c>
      <c r="S40" s="4">
        <v>0</v>
      </c>
      <c r="T40" s="4">
        <v>22</v>
      </c>
      <c r="U40" s="4">
        <v>61</v>
      </c>
      <c r="V40" s="6">
        <f>IF(ISERROR(VLOOKUP($S$40,'TAR FIN'!$A$1:$O$85,15,0)),0,VLOOKUP($S$40,'TAR FIN'!$A$1:$O$85,15,0))</f>
        <v>0</v>
      </c>
      <c r="W40" s="6">
        <f>IF(ISERROR(VLOOKUP($T$40,'TAR FIN'!$A$1:$O$85,15,0)),0,VLOOKUP($T$40,'TAR FIN'!$A$1:$O$85,15,0))</f>
        <v>222.18</v>
      </c>
      <c r="X40" s="6">
        <f>IF(ISERROR(VLOOKUP($U$40,'TAR FIN'!$A$1:$O$85,15,0)),0,VLOOKUP($U$40,'TAR FIN'!$A$1:$O$85,15,0))</f>
        <v>310.5</v>
      </c>
      <c r="Y40" s="6"/>
      <c r="Z40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40" s="6">
        <f>('TE BE'!$AB$14+'TE BF'!$AB$14+'TE CVA'!$AB$14)*(1-CUSTOS!$M$37)</f>
        <v>221.79210547670309</v>
      </c>
      <c r="AB40" s="6">
        <f t="shared" si="4"/>
        <v>0</v>
      </c>
      <c r="AC40" s="6">
        <f>(L40-M40)*(W40+X40)+($W$39+$X$39-$W$40-$X$40)*(L40)</f>
        <v>7.3896444519050416E-16</v>
      </c>
      <c r="AD40" s="6">
        <f t="shared" si="5"/>
        <v>0</v>
      </c>
      <c r="AE40" s="6">
        <f ca="1">(L40-M40)*(Z40+AA40)+($Z$39+$AA$39-$Z$40-$AA$40)*(L40)</f>
        <v>-3.6948222259525208E-16</v>
      </c>
      <c r="AF40" s="4" t="s">
        <v>569</v>
      </c>
    </row>
    <row r="41" spans="1:32" ht="11.25" customHeight="1" x14ac:dyDescent="0.3">
      <c r="A41" s="4" t="s">
        <v>21</v>
      </c>
      <c r="B41" s="4" t="s">
        <v>22</v>
      </c>
      <c r="C41" s="4" t="s">
        <v>23</v>
      </c>
      <c r="D41" s="4" t="s">
        <v>24</v>
      </c>
      <c r="E41" s="4" t="s">
        <v>30</v>
      </c>
      <c r="F41" s="4" t="s">
        <v>25</v>
      </c>
      <c r="G41" s="4" t="s">
        <v>25</v>
      </c>
      <c r="H41" s="4" t="s">
        <v>25</v>
      </c>
      <c r="I41" s="5">
        <v>44562</v>
      </c>
      <c r="J41" s="6">
        <v>0</v>
      </c>
      <c r="K41" s="6">
        <v>0</v>
      </c>
      <c r="L41" s="6">
        <v>5.6000000000000001E-2</v>
      </c>
      <c r="M41" s="6">
        <v>5.6000000000000001E-2</v>
      </c>
      <c r="N41" s="6">
        <v>5.6000000000000001E-2</v>
      </c>
      <c r="O41" s="6">
        <v>5.6000000000000001E-2</v>
      </c>
      <c r="P41" s="6">
        <v>2</v>
      </c>
      <c r="Q41" s="4" t="s">
        <v>26</v>
      </c>
      <c r="R41" s="4">
        <v>0</v>
      </c>
      <c r="S41" s="4">
        <v>0</v>
      </c>
      <c r="T41" s="4">
        <v>22</v>
      </c>
      <c r="U41" s="4">
        <v>61</v>
      </c>
      <c r="V41" s="6">
        <f>IF(ISERROR(VLOOKUP($S$41,'TAR FIN'!$A$1:$O$85,15,0)),0,VLOOKUP($S$41,'TAR FIN'!$A$1:$O$85,15,0))</f>
        <v>0</v>
      </c>
      <c r="W41" s="6">
        <f>IF(ISERROR(VLOOKUP($T$41,'TAR FIN'!$A$1:$O$85,15,0)),0,VLOOKUP($T$41,'TAR FIN'!$A$1:$O$85,15,0))</f>
        <v>222.18</v>
      </c>
      <c r="X41" s="6">
        <f>IF(ISERROR(VLOOKUP($U$41,'TAR FIN'!$A$1:$O$85,15,0)),0,VLOOKUP($U$41,'TAR FIN'!$A$1:$O$85,15,0))</f>
        <v>310.5</v>
      </c>
      <c r="Y41" s="6"/>
      <c r="Z41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41" s="6">
        <f>('TE BE'!$AB$14+'TE BF'!$AB$14+'TE CVA'!$AB$14)*(1-CUSTOS!$M$37)</f>
        <v>221.79210547670309</v>
      </c>
      <c r="AB41" s="6">
        <f t="shared" si="4"/>
        <v>0</v>
      </c>
      <c r="AC41" s="6">
        <f>(L41-M41)*(W41+X41)+($W$39+$X$39-$W$41-$X$41)*(L41)</f>
        <v>3.1832314562052489E-15</v>
      </c>
      <c r="AD41" s="6">
        <f t="shared" si="5"/>
        <v>0</v>
      </c>
      <c r="AE41" s="6">
        <f ca="1">(L41-M41)*(Z41+AA41)+($Z$39+$AA$39-$Z$41-$AA$41)*(L41)</f>
        <v>-1.5916157281026244E-15</v>
      </c>
      <c r="AF41" s="4" t="s">
        <v>569</v>
      </c>
    </row>
    <row r="42" spans="1:32" ht="11.25" customHeight="1" x14ac:dyDescent="0.3">
      <c r="A42" s="4" t="s">
        <v>21</v>
      </c>
      <c r="B42" s="4" t="s">
        <v>22</v>
      </c>
      <c r="C42" s="4" t="s">
        <v>23</v>
      </c>
      <c r="D42" s="4" t="s">
        <v>24</v>
      </c>
      <c r="E42" s="4" t="s">
        <v>30</v>
      </c>
      <c r="F42" s="4" t="s">
        <v>25</v>
      </c>
      <c r="G42" s="4" t="s">
        <v>25</v>
      </c>
      <c r="H42" s="4" t="s">
        <v>25</v>
      </c>
      <c r="I42" s="5">
        <v>44593</v>
      </c>
      <c r="J42" s="6">
        <v>0</v>
      </c>
      <c r="K42" s="6">
        <v>0</v>
      </c>
      <c r="L42" s="6">
        <v>0.249</v>
      </c>
      <c r="M42" s="6">
        <v>0.249</v>
      </c>
      <c r="N42" s="6">
        <v>0.249</v>
      </c>
      <c r="O42" s="6">
        <v>0.249</v>
      </c>
      <c r="P42" s="6">
        <v>2</v>
      </c>
      <c r="Q42" s="4" t="s">
        <v>26</v>
      </c>
      <c r="R42" s="4">
        <v>0</v>
      </c>
      <c r="S42" s="4">
        <v>0</v>
      </c>
      <c r="T42" s="4">
        <v>22</v>
      </c>
      <c r="U42" s="4">
        <v>61</v>
      </c>
      <c r="V42" s="6">
        <f>IF(ISERROR(VLOOKUP($S$42,'TAR FIN'!$A$1:$O$85,15,0)),0,VLOOKUP($S$42,'TAR FIN'!$A$1:$O$85,15,0))</f>
        <v>0</v>
      </c>
      <c r="W42" s="6">
        <f>IF(ISERROR(VLOOKUP($T$42,'TAR FIN'!$A$1:$O$85,15,0)),0,VLOOKUP($T$42,'TAR FIN'!$A$1:$O$85,15,0))</f>
        <v>222.18</v>
      </c>
      <c r="X42" s="6">
        <f>IF(ISERROR(VLOOKUP($U$42,'TAR FIN'!$A$1:$O$85,15,0)),0,VLOOKUP($U$42,'TAR FIN'!$A$1:$O$85,15,0))</f>
        <v>310.5</v>
      </c>
      <c r="Y42" s="6"/>
      <c r="Z42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42" s="6">
        <f>('TE BE'!$AB$14+'TE BF'!$AB$14+'TE CVA'!$AB$14)*(1-CUSTOS!$M$37)</f>
        <v>221.79210547670309</v>
      </c>
      <c r="AB42" s="6">
        <f t="shared" si="4"/>
        <v>0</v>
      </c>
      <c r="AC42" s="6">
        <f>(L42-M42)*(W42+X42)+($W$39+$X$39-$W$42-$X$42)*(L42)</f>
        <v>1.4154011296341196E-14</v>
      </c>
      <c r="AD42" s="6">
        <f t="shared" si="5"/>
        <v>0</v>
      </c>
      <c r="AE42" s="6">
        <f ca="1">(L42-M42)*(Z42+AA42)+($Z$39+$AA$39-$Z$42-$AA$42)*(L42)</f>
        <v>-7.0770056481705978E-15</v>
      </c>
      <c r="AF42" s="4" t="s">
        <v>569</v>
      </c>
    </row>
    <row r="43" spans="1:32" ht="11.25" customHeight="1" x14ac:dyDescent="0.3">
      <c r="A43" s="4" t="s">
        <v>21</v>
      </c>
      <c r="B43" s="4" t="s">
        <v>22</v>
      </c>
      <c r="C43" s="4" t="s">
        <v>23</v>
      </c>
      <c r="D43" s="4" t="s">
        <v>24</v>
      </c>
      <c r="E43" s="4" t="s">
        <v>30</v>
      </c>
      <c r="F43" s="4" t="s">
        <v>25</v>
      </c>
      <c r="G43" s="4" t="s">
        <v>25</v>
      </c>
      <c r="H43" s="4" t="s">
        <v>25</v>
      </c>
      <c r="I43" s="5">
        <v>44621</v>
      </c>
      <c r="J43" s="6">
        <v>0</v>
      </c>
      <c r="K43" s="6">
        <v>0</v>
      </c>
      <c r="L43" s="6">
        <v>0.17799999999999999</v>
      </c>
      <c r="M43" s="6">
        <v>0.17799999999999999</v>
      </c>
      <c r="N43" s="6">
        <v>0.17799999999999999</v>
      </c>
      <c r="O43" s="6">
        <v>0.17799999999999999</v>
      </c>
      <c r="P43" s="6">
        <v>4</v>
      </c>
      <c r="Q43" s="4" t="s">
        <v>26</v>
      </c>
      <c r="R43" s="4">
        <v>0</v>
      </c>
      <c r="S43" s="4">
        <v>0</v>
      </c>
      <c r="T43" s="4">
        <v>22</v>
      </c>
      <c r="U43" s="4">
        <v>61</v>
      </c>
      <c r="V43" s="6">
        <f>IF(ISERROR(VLOOKUP($S$43,'TAR FIN'!$A$1:$O$85,15,0)),0,VLOOKUP($S$43,'TAR FIN'!$A$1:$O$85,15,0))</f>
        <v>0</v>
      </c>
      <c r="W43" s="6">
        <f>IF(ISERROR(VLOOKUP($T$43,'TAR FIN'!$A$1:$O$85,15,0)),0,VLOOKUP($T$43,'TAR FIN'!$A$1:$O$85,15,0))</f>
        <v>222.18</v>
      </c>
      <c r="X43" s="6">
        <f>IF(ISERROR(VLOOKUP($U$43,'TAR FIN'!$A$1:$O$85,15,0)),0,VLOOKUP($U$43,'TAR FIN'!$A$1:$O$85,15,0))</f>
        <v>310.5</v>
      </c>
      <c r="Y43" s="6"/>
      <c r="Z43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43" s="6">
        <f>('TE BE'!$AB$14+'TE BF'!$AB$14+'TE CVA'!$AB$14)*(1-CUSTOS!$M$37)</f>
        <v>221.79210547670309</v>
      </c>
      <c r="AB43" s="6">
        <f t="shared" si="4"/>
        <v>0</v>
      </c>
      <c r="AC43" s="6">
        <f>(L43-M43)*(W43+X43)+($W$39+$X$39-$W$43-$X$43)*(L43)</f>
        <v>1.0118128557223826E-14</v>
      </c>
      <c r="AD43" s="6">
        <f t="shared" si="5"/>
        <v>0</v>
      </c>
      <c r="AE43" s="6">
        <f ca="1">(L43-M43)*(Z43+AA43)+($Z$39+$AA$39-$Z$43-$AA$43)*(L43)</f>
        <v>-5.0590642786119131E-15</v>
      </c>
      <c r="AF43" s="4" t="s">
        <v>569</v>
      </c>
    </row>
    <row r="44" spans="1:32" ht="11.25" customHeight="1" x14ac:dyDescent="0.3">
      <c r="A44" s="4" t="s">
        <v>21</v>
      </c>
      <c r="B44" s="4" t="s">
        <v>22</v>
      </c>
      <c r="C44" s="4" t="s">
        <v>23</v>
      </c>
      <c r="D44" s="4" t="s">
        <v>24</v>
      </c>
      <c r="E44" s="4" t="s">
        <v>30</v>
      </c>
      <c r="F44" s="4" t="s">
        <v>25</v>
      </c>
      <c r="G44" s="4" t="s">
        <v>25</v>
      </c>
      <c r="H44" s="4" t="s">
        <v>25</v>
      </c>
      <c r="I44" s="5">
        <v>44652</v>
      </c>
      <c r="J44" s="6">
        <v>0</v>
      </c>
      <c r="K44" s="6">
        <v>0</v>
      </c>
      <c r="L44" s="6">
        <v>0.13900000000000001</v>
      </c>
      <c r="M44" s="6">
        <v>0.13900000000000001</v>
      </c>
      <c r="N44" s="6">
        <v>0.13900000000000001</v>
      </c>
      <c r="O44" s="6">
        <v>0.13900000000000001</v>
      </c>
      <c r="P44" s="6">
        <v>2</v>
      </c>
      <c r="Q44" s="4" t="s">
        <v>26</v>
      </c>
      <c r="R44" s="4">
        <v>0</v>
      </c>
      <c r="S44" s="4">
        <v>0</v>
      </c>
      <c r="T44" s="4">
        <v>22</v>
      </c>
      <c r="U44" s="4">
        <v>61</v>
      </c>
      <c r="V44" s="6">
        <f>IF(ISERROR(VLOOKUP($S$44,'TAR FIN'!$A$1:$O$85,15,0)),0,VLOOKUP($S$44,'TAR FIN'!$A$1:$O$85,15,0))</f>
        <v>0</v>
      </c>
      <c r="W44" s="6">
        <f>IF(ISERROR(VLOOKUP($T$44,'TAR FIN'!$A$1:$O$85,15,0)),0,VLOOKUP($T$44,'TAR FIN'!$A$1:$O$85,15,0))</f>
        <v>222.18</v>
      </c>
      <c r="X44" s="6">
        <f>IF(ISERROR(VLOOKUP($U$44,'TAR FIN'!$A$1:$O$85,15,0)),0,VLOOKUP($U$44,'TAR FIN'!$A$1:$O$85,15,0))</f>
        <v>310.5</v>
      </c>
      <c r="Y44" s="6"/>
      <c r="Z44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44" s="6">
        <f>('TE BE'!$AB$14+'TE BF'!$AB$14+'TE CVA'!$AB$14)*(1-CUSTOS!$M$37)</f>
        <v>221.79210547670309</v>
      </c>
      <c r="AB44" s="6">
        <f t="shared" si="4"/>
        <v>0</v>
      </c>
      <c r="AC44" s="6">
        <f>(L44-M44)*(W44+X44)+($W$39+$X$39-$W$44-$X$44)*(L44)</f>
        <v>7.9012352216523148E-15</v>
      </c>
      <c r="AD44" s="6">
        <f t="shared" si="5"/>
        <v>0</v>
      </c>
      <c r="AE44" s="6">
        <f ca="1">(L44-M44)*(Z44+AA44)+($Z$39+$AA$39-$Z$44-$AA$44)*(L44)</f>
        <v>-3.9506176108261574E-15</v>
      </c>
      <c r="AF44" s="4" t="s">
        <v>569</v>
      </c>
    </row>
    <row r="45" spans="1:32" ht="11.25" customHeight="1" x14ac:dyDescent="0.3">
      <c r="A45" s="4" t="s">
        <v>21</v>
      </c>
      <c r="B45" s="4" t="s">
        <v>22</v>
      </c>
      <c r="C45" s="4" t="s">
        <v>23</v>
      </c>
      <c r="D45" s="4" t="s">
        <v>24</v>
      </c>
      <c r="E45" s="4" t="s">
        <v>30</v>
      </c>
      <c r="F45" s="4" t="s">
        <v>25</v>
      </c>
      <c r="G45" s="4" t="s">
        <v>25</v>
      </c>
      <c r="H45" s="4" t="s">
        <v>25</v>
      </c>
      <c r="I45" s="5">
        <v>44682</v>
      </c>
      <c r="J45" s="6">
        <v>0</v>
      </c>
      <c r="K45" s="6">
        <v>0</v>
      </c>
      <c r="L45" s="6">
        <v>0.20200000000000001</v>
      </c>
      <c r="M45" s="6">
        <v>0.20200000000000001</v>
      </c>
      <c r="N45" s="6">
        <v>0.20200000000000001</v>
      </c>
      <c r="O45" s="6">
        <v>0.20200000000000001</v>
      </c>
      <c r="P45" s="6">
        <v>4</v>
      </c>
      <c r="Q45" s="4" t="s">
        <v>26</v>
      </c>
      <c r="R45" s="4">
        <v>0</v>
      </c>
      <c r="S45" s="4">
        <v>0</v>
      </c>
      <c r="T45" s="4">
        <v>22</v>
      </c>
      <c r="U45" s="4">
        <v>61</v>
      </c>
      <c r="V45" s="6">
        <f>IF(ISERROR(VLOOKUP($S$45,'TAR FIN'!$A$1:$O$85,15,0)),0,VLOOKUP($S$45,'TAR FIN'!$A$1:$O$85,15,0))</f>
        <v>0</v>
      </c>
      <c r="W45" s="6">
        <f>IF(ISERROR(VLOOKUP($T$45,'TAR FIN'!$A$1:$O$85,15,0)),0,VLOOKUP($T$45,'TAR FIN'!$A$1:$O$85,15,0))</f>
        <v>222.18</v>
      </c>
      <c r="X45" s="6">
        <f>IF(ISERROR(VLOOKUP($U$45,'TAR FIN'!$A$1:$O$85,15,0)),0,VLOOKUP($U$45,'TAR FIN'!$A$1:$O$85,15,0))</f>
        <v>310.5</v>
      </c>
      <c r="Y45" s="6"/>
      <c r="Z45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45" s="6">
        <f>('TE BE'!$AB$14+'TE BF'!$AB$14+'TE CVA'!$AB$14)*(1-CUSTOS!$M$37)</f>
        <v>221.79210547670309</v>
      </c>
      <c r="AB45" s="6">
        <f t="shared" si="4"/>
        <v>0</v>
      </c>
      <c r="AC45" s="6">
        <f>(L45-M45)*(W45+X45)+($W$39+$X$39-$W$45-$X$45)*(L45)</f>
        <v>1.148237060988322E-14</v>
      </c>
      <c r="AD45" s="6">
        <f t="shared" si="5"/>
        <v>0</v>
      </c>
      <c r="AE45" s="6">
        <f ca="1">(L45-M45)*(Z45+AA45)+($Z$39+$AA$39-$Z$45-$AA$45)*(L45)</f>
        <v>-5.7411853049416099E-15</v>
      </c>
      <c r="AF45" s="4" t="s">
        <v>569</v>
      </c>
    </row>
    <row r="46" spans="1:32" ht="11.25" customHeight="1" x14ac:dyDescent="0.3">
      <c r="A46" s="4" t="s">
        <v>21</v>
      </c>
      <c r="B46" s="4" t="s">
        <v>22</v>
      </c>
      <c r="C46" s="4" t="s">
        <v>23</v>
      </c>
      <c r="D46" s="4" t="s">
        <v>24</v>
      </c>
      <c r="E46" s="4" t="s">
        <v>30</v>
      </c>
      <c r="F46" s="4" t="s">
        <v>25</v>
      </c>
      <c r="G46" s="4" t="s">
        <v>25</v>
      </c>
      <c r="H46" s="4" t="s">
        <v>25</v>
      </c>
      <c r="I46" s="5">
        <v>44713</v>
      </c>
      <c r="J46" s="6">
        <v>0</v>
      </c>
      <c r="K46" s="6">
        <v>0</v>
      </c>
      <c r="L46" s="6">
        <v>0.62</v>
      </c>
      <c r="M46" s="6">
        <v>0.62</v>
      </c>
      <c r="N46" s="6">
        <v>0.62</v>
      </c>
      <c r="O46" s="6">
        <v>0.62</v>
      </c>
      <c r="P46" s="6">
        <v>4</v>
      </c>
      <c r="Q46" s="4" t="s">
        <v>26</v>
      </c>
      <c r="R46" s="4">
        <v>0</v>
      </c>
      <c r="S46" s="4">
        <v>0</v>
      </c>
      <c r="T46" s="4">
        <v>22</v>
      </c>
      <c r="U46" s="4">
        <v>61</v>
      </c>
      <c r="V46" s="6">
        <f>IF(ISERROR(VLOOKUP($S$46,'TAR FIN'!$A$1:$O$85,15,0)),0,VLOOKUP($S$46,'TAR FIN'!$A$1:$O$85,15,0))</f>
        <v>0</v>
      </c>
      <c r="W46" s="6">
        <f>IF(ISERROR(VLOOKUP($T$46,'TAR FIN'!$A$1:$O$85,15,0)),0,VLOOKUP($T$46,'TAR FIN'!$A$1:$O$85,15,0))</f>
        <v>222.18</v>
      </c>
      <c r="X46" s="6">
        <f>IF(ISERROR(VLOOKUP($U$46,'TAR FIN'!$A$1:$O$85,15,0)),0,VLOOKUP($U$46,'TAR FIN'!$A$1:$O$85,15,0))</f>
        <v>310.5</v>
      </c>
      <c r="Y46" s="6"/>
      <c r="Z46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46" s="6">
        <f>('TE BE'!$AB$14+'TE BF'!$AB$14+'TE CVA'!$AB$14)*(1-CUSTOS!$M$37)</f>
        <v>221.79210547670309</v>
      </c>
      <c r="AB46" s="6">
        <f t="shared" si="4"/>
        <v>0</v>
      </c>
      <c r="AC46" s="6">
        <f>(L46-M46)*(W46+X46)+($W$39+$X$39-$W$46-$X$46)*(L46)</f>
        <v>3.5242919693700969E-14</v>
      </c>
      <c r="AD46" s="6">
        <f t="shared" si="5"/>
        <v>0</v>
      </c>
      <c r="AE46" s="6">
        <f ca="1">(L46-M46)*(Z46+AA46)+($Z$39+$AA$39-$Z$46-$AA$46)*(L46)</f>
        <v>-1.7621459846850484E-14</v>
      </c>
      <c r="AF46" s="4" t="s">
        <v>569</v>
      </c>
    </row>
    <row r="47" spans="1:32" ht="11.25" customHeight="1" x14ac:dyDescent="0.3">
      <c r="A47" s="4" t="s">
        <v>21</v>
      </c>
      <c r="B47" s="4" t="s">
        <v>22</v>
      </c>
      <c r="C47" s="4" t="s">
        <v>23</v>
      </c>
      <c r="D47" s="4" t="s">
        <v>24</v>
      </c>
      <c r="E47" s="4" t="s">
        <v>30</v>
      </c>
      <c r="F47" s="4" t="s">
        <v>25</v>
      </c>
      <c r="G47" s="4" t="s">
        <v>25</v>
      </c>
      <c r="H47" s="4" t="s">
        <v>25</v>
      </c>
      <c r="I47" s="5">
        <v>44743</v>
      </c>
      <c r="J47" s="6">
        <v>0</v>
      </c>
      <c r="K47" s="6">
        <v>0</v>
      </c>
      <c r="L47" s="6">
        <v>0.21</v>
      </c>
      <c r="M47" s="6">
        <v>0.21</v>
      </c>
      <c r="N47" s="6">
        <v>0.21</v>
      </c>
      <c r="O47" s="6">
        <v>0.21</v>
      </c>
      <c r="P47" s="6">
        <v>4</v>
      </c>
      <c r="Q47" s="4" t="s">
        <v>26</v>
      </c>
      <c r="R47" s="4">
        <v>0</v>
      </c>
      <c r="S47" s="4">
        <v>0</v>
      </c>
      <c r="T47" s="4">
        <v>22</v>
      </c>
      <c r="U47" s="4">
        <v>61</v>
      </c>
      <c r="V47" s="6">
        <f>IF(ISERROR(VLOOKUP($S$47,'TAR FIN'!$A$1:$O$85,15,0)),0,VLOOKUP($S$47,'TAR FIN'!$A$1:$O$85,15,0))</f>
        <v>0</v>
      </c>
      <c r="W47" s="6">
        <f>IF(ISERROR(VLOOKUP($T$47,'TAR FIN'!$A$1:$O$85,15,0)),0,VLOOKUP($T$47,'TAR FIN'!$A$1:$O$85,15,0))</f>
        <v>222.18</v>
      </c>
      <c r="X47" s="6">
        <f>IF(ISERROR(VLOOKUP($U$47,'TAR FIN'!$A$1:$O$85,15,0)),0,VLOOKUP($U$47,'TAR FIN'!$A$1:$O$85,15,0))</f>
        <v>310.5</v>
      </c>
      <c r="Y47" s="6"/>
      <c r="Z47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47" s="6">
        <f>('TE BE'!$AB$14+'TE BF'!$AB$14+'TE CVA'!$AB$14)*(1-CUSTOS!$M$37)</f>
        <v>221.79210547670309</v>
      </c>
      <c r="AB47" s="6">
        <f t="shared" si="4"/>
        <v>0</v>
      </c>
      <c r="AC47" s="6">
        <f>(L47-M47)*(W47+X47)+($W$39+$X$39-$W$47-$X$47)*(L47)</f>
        <v>1.1937117960769683E-14</v>
      </c>
      <c r="AD47" s="6">
        <f t="shared" si="5"/>
        <v>0</v>
      </c>
      <c r="AE47" s="6">
        <f ca="1">(L47-M47)*(Z47+AA47)+($Z$39+$AA$39-$Z$47-$AA$47)*(L47)</f>
        <v>-5.9685589803848413E-15</v>
      </c>
      <c r="AF47" s="4" t="s">
        <v>569</v>
      </c>
    </row>
    <row r="48" spans="1:32" ht="11.25" customHeight="1" x14ac:dyDescent="0.3">
      <c r="A48" s="4" t="s">
        <v>21</v>
      </c>
      <c r="B48" s="4" t="s">
        <v>22</v>
      </c>
      <c r="C48" s="4" t="s">
        <v>23</v>
      </c>
      <c r="D48" s="4" t="s">
        <v>24</v>
      </c>
      <c r="E48" s="4" t="s">
        <v>30</v>
      </c>
      <c r="F48" s="4" t="s">
        <v>25</v>
      </c>
      <c r="G48" s="4" t="s">
        <v>25</v>
      </c>
      <c r="H48" s="4" t="s">
        <v>25</v>
      </c>
      <c r="I48" s="5">
        <v>44774</v>
      </c>
      <c r="J48" s="6">
        <v>0</v>
      </c>
      <c r="K48" s="6">
        <v>0</v>
      </c>
      <c r="L48" s="6">
        <v>0.42599999999999999</v>
      </c>
      <c r="M48" s="6">
        <v>0.42599999999999999</v>
      </c>
      <c r="N48" s="6">
        <v>0.42599999999999999</v>
      </c>
      <c r="O48" s="6">
        <v>0.42599999999999999</v>
      </c>
      <c r="P48" s="6">
        <v>6</v>
      </c>
      <c r="Q48" s="4" t="s">
        <v>26</v>
      </c>
      <c r="R48" s="4">
        <v>0</v>
      </c>
      <c r="S48" s="4">
        <v>0</v>
      </c>
      <c r="T48" s="4">
        <v>22</v>
      </c>
      <c r="U48" s="4">
        <v>61</v>
      </c>
      <c r="V48" s="6">
        <f>IF(ISERROR(VLOOKUP($S$48,'TAR FIN'!$A$1:$O$85,15,0)),0,VLOOKUP($S$48,'TAR FIN'!$A$1:$O$85,15,0))</f>
        <v>0</v>
      </c>
      <c r="W48" s="6">
        <f>IF(ISERROR(VLOOKUP($T$48,'TAR FIN'!$A$1:$O$85,15,0)),0,VLOOKUP($T$48,'TAR FIN'!$A$1:$O$85,15,0))</f>
        <v>222.18</v>
      </c>
      <c r="X48" s="6">
        <f>IF(ISERROR(VLOOKUP($U$48,'TAR FIN'!$A$1:$O$85,15,0)),0,VLOOKUP($U$48,'TAR FIN'!$A$1:$O$85,15,0))</f>
        <v>310.5</v>
      </c>
      <c r="Y48" s="6"/>
      <c r="Z48" s="6">
        <f ca="1">('TUSD BE'!$AM$24+'TUSD BF'!$AM$24+'TUSD CVA'!$AM$24-('TUSD BE'!$P$24+'TUSD BF'!$P$24+'TUSD CVA'!$P$24)-('TUSD BE'!$Q$24+'TUSD BF'!$Q$24+'TUSD CVA'!$Q$24)-('TUSD BE'!$R$24+'TUSD BF'!$R$24+'TUSD CVA'!$R$24))*(1-CUSTOS!$M$37)</f>
        <v>214.07271595350841</v>
      </c>
      <c r="AA48" s="6">
        <f>('TE BE'!$AB$14+'TE BF'!$AB$14+'TE CVA'!$AB$14)*(1-CUSTOS!$M$37)</f>
        <v>221.79210547670309</v>
      </c>
      <c r="AB48" s="6">
        <f t="shared" si="4"/>
        <v>0</v>
      </c>
      <c r="AC48" s="6">
        <f>(L48-M48)*(W48+X48)+($W$39+$X$39-$W$48-$X$48)*(L48)</f>
        <v>2.4215296434704214E-14</v>
      </c>
      <c r="AD48" s="6">
        <f t="shared" si="5"/>
        <v>0</v>
      </c>
      <c r="AE48" s="6">
        <f ca="1">(L48-M48)*(Z48+AA48)+($Z$39+$AA$39-$Z$48-$AA$48)*(L48)</f>
        <v>-1.2107648217352107E-14</v>
      </c>
      <c r="AF48" s="4" t="s">
        <v>569</v>
      </c>
    </row>
    <row r="49" spans="1:32" ht="11.25" customHeight="1" x14ac:dyDescent="0.3">
      <c r="A49" s="4" t="s">
        <v>21</v>
      </c>
      <c r="B49" s="4" t="s">
        <v>39</v>
      </c>
      <c r="C49" s="4" t="s">
        <v>23</v>
      </c>
      <c r="D49" s="4" t="s">
        <v>40</v>
      </c>
      <c r="E49" s="4" t="s">
        <v>48</v>
      </c>
      <c r="F49" s="4" t="s">
        <v>49</v>
      </c>
      <c r="G49" s="4" t="s">
        <v>25</v>
      </c>
      <c r="H49" s="4" t="s">
        <v>25</v>
      </c>
      <c r="I49" s="5">
        <v>44440</v>
      </c>
      <c r="J49" s="6">
        <v>0</v>
      </c>
      <c r="K49" s="6">
        <v>0</v>
      </c>
      <c r="L49" s="6">
        <v>9.4E-2</v>
      </c>
      <c r="M49" s="6">
        <v>9.4E-2</v>
      </c>
      <c r="N49" s="6">
        <v>9.4E-2</v>
      </c>
      <c r="O49" s="6">
        <v>9.4E-2</v>
      </c>
      <c r="P49" s="6">
        <v>0</v>
      </c>
      <c r="Q49" s="4" t="s">
        <v>26</v>
      </c>
      <c r="R49" s="4">
        <v>0</v>
      </c>
      <c r="S49" s="4">
        <v>0</v>
      </c>
      <c r="T49" s="4">
        <v>33</v>
      </c>
      <c r="U49" s="4">
        <v>64</v>
      </c>
      <c r="V49" s="6">
        <f>IF(ISERROR(VLOOKUP($S$49,'TAR FIN'!$A$1:$O$85,15,0)),0,VLOOKUP($S$49,'TAR FIN'!$A$1:$O$85,15,0))</f>
        <v>0</v>
      </c>
      <c r="W49" s="6">
        <f>IF(ISERROR(VLOOKUP($T$49,'TAR FIN'!$A$1:$O$85,15,0)),0,VLOOKUP($T$49,'TAR FIN'!$A$1:$O$85,15,0))</f>
        <v>267.20999999999998</v>
      </c>
      <c r="X49" s="6">
        <f>IF(ISERROR(VLOOKUP($U$49,'TAR FIN'!$A$1:$O$85,15,0)),0,VLOOKUP($U$49,'TAR FIN'!$A$1:$O$85,15,0))</f>
        <v>273.24</v>
      </c>
      <c r="Y49" s="6"/>
      <c r="Z49" s="6">
        <f ca="1">('TUSD BE'!$AM$33+'TUSD BF'!$AM$33+'TUSD CVA'!$AM$33)*(1-CUSTOS!$M$38)</f>
        <v>292.68592240777247</v>
      </c>
      <c r="AA49" s="6">
        <f>('TE BE'!$AB$23+'TE BF'!$AB$23+'TE CVA'!$AB$23)*(1-CUSTOS!$M$38)</f>
        <v>208.48457914810089</v>
      </c>
      <c r="AB49" s="6">
        <f t="shared" si="4"/>
        <v>0</v>
      </c>
      <c r="AC49" s="6">
        <f>(L49-M49)*(W49+X49)+($W$2+$X$2-$W$49-$X$49)*(L49)</f>
        <v>6.9277999999999986</v>
      </c>
      <c r="AD49" s="6">
        <f t="shared" si="5"/>
        <v>0</v>
      </c>
      <c r="AE49" s="6">
        <f ca="1">(L49-M49)*(Z49+AA49)+($Z$2+$AA$2-$Z$49-$AA$49)*(L49)</f>
        <v>3.0070230093352479</v>
      </c>
      <c r="AF49" s="4" t="s">
        <v>570</v>
      </c>
    </row>
    <row r="50" spans="1:32" ht="11.25" customHeight="1" x14ac:dyDescent="0.3">
      <c r="A50" s="4" t="s">
        <v>21</v>
      </c>
      <c r="B50" s="4" t="s">
        <v>39</v>
      </c>
      <c r="C50" s="4" t="s">
        <v>23</v>
      </c>
      <c r="D50" s="4" t="s">
        <v>40</v>
      </c>
      <c r="E50" s="4" t="s">
        <v>48</v>
      </c>
      <c r="F50" s="4" t="s">
        <v>49</v>
      </c>
      <c r="G50" s="4" t="s">
        <v>25</v>
      </c>
      <c r="H50" s="4" t="s">
        <v>25</v>
      </c>
      <c r="I50" s="5">
        <v>44470</v>
      </c>
      <c r="J50" s="6">
        <v>0</v>
      </c>
      <c r="K50" s="6">
        <v>0</v>
      </c>
      <c r="L50" s="6">
        <v>0.104</v>
      </c>
      <c r="M50" s="6">
        <v>0.104</v>
      </c>
      <c r="N50" s="6">
        <v>0.104</v>
      </c>
      <c r="O50" s="6">
        <v>0.104</v>
      </c>
      <c r="P50" s="6">
        <v>0</v>
      </c>
      <c r="Q50" s="4" t="s">
        <v>26</v>
      </c>
      <c r="R50" s="4">
        <v>0</v>
      </c>
      <c r="S50" s="4">
        <v>0</v>
      </c>
      <c r="T50" s="4">
        <v>33</v>
      </c>
      <c r="U50" s="4">
        <v>64</v>
      </c>
      <c r="V50" s="6">
        <f>IF(ISERROR(VLOOKUP($S$50,'TAR FIN'!$A$1:$O$85,15,0)),0,VLOOKUP($S$50,'TAR FIN'!$A$1:$O$85,15,0))</f>
        <v>0</v>
      </c>
      <c r="W50" s="6">
        <f>IF(ISERROR(VLOOKUP($T$50,'TAR FIN'!$A$1:$O$85,15,0)),0,VLOOKUP($T$50,'TAR FIN'!$A$1:$O$85,15,0))</f>
        <v>267.20999999999998</v>
      </c>
      <c r="X50" s="6">
        <f>IF(ISERROR(VLOOKUP($U$50,'TAR FIN'!$A$1:$O$85,15,0)),0,VLOOKUP($U$50,'TAR FIN'!$A$1:$O$85,15,0))</f>
        <v>273.24</v>
      </c>
      <c r="Y50" s="6"/>
      <c r="Z50" s="6">
        <f ca="1">('TUSD BE'!$AM$33+'TUSD BF'!$AM$33+'TUSD CVA'!$AM$33)*(1-CUSTOS!$M$38)</f>
        <v>292.68592240777247</v>
      </c>
      <c r="AA50" s="6">
        <f>('TE BE'!$AB$23+'TE BF'!$AB$23+'TE CVA'!$AB$23)*(1-CUSTOS!$M$38)</f>
        <v>208.48457914810089</v>
      </c>
      <c r="AB50" s="6">
        <f t="shared" si="4"/>
        <v>0</v>
      </c>
      <c r="AC50" s="6">
        <f>(L50-M50)*(W50+X50)+($W$2+$X$2-$W$50-$X$50)*(L50)</f>
        <v>7.6647999999999987</v>
      </c>
      <c r="AD50" s="6">
        <f t="shared" si="5"/>
        <v>0</v>
      </c>
      <c r="AE50" s="6">
        <f ca="1">(L50-M50)*(Z50+AA50)+($Z$2+$AA$2-$Z$50-$AA$50)*(L50)</f>
        <v>3.3269190741581465</v>
      </c>
      <c r="AF50" s="4" t="s">
        <v>570</v>
      </c>
    </row>
    <row r="51" spans="1:32" ht="11.25" customHeight="1" x14ac:dyDescent="0.3">
      <c r="A51" s="4" t="s">
        <v>21</v>
      </c>
      <c r="B51" s="4" t="s">
        <v>39</v>
      </c>
      <c r="C51" s="4" t="s">
        <v>23</v>
      </c>
      <c r="D51" s="4" t="s">
        <v>40</v>
      </c>
      <c r="E51" s="4" t="s">
        <v>48</v>
      </c>
      <c r="F51" s="4" t="s">
        <v>49</v>
      </c>
      <c r="G51" s="4" t="s">
        <v>25</v>
      </c>
      <c r="H51" s="4" t="s">
        <v>25</v>
      </c>
      <c r="I51" s="5">
        <v>44501</v>
      </c>
      <c r="J51" s="6">
        <v>0</v>
      </c>
      <c r="K51" s="6">
        <v>0</v>
      </c>
      <c r="L51" s="6">
        <v>8.5000000000000006E-2</v>
      </c>
      <c r="M51" s="6">
        <v>8.5000000000000006E-2</v>
      </c>
      <c r="N51" s="6">
        <v>8.5000000000000006E-2</v>
      </c>
      <c r="O51" s="6">
        <v>8.5000000000000006E-2</v>
      </c>
      <c r="P51" s="6">
        <v>0</v>
      </c>
      <c r="Q51" s="4" t="s">
        <v>26</v>
      </c>
      <c r="R51" s="4">
        <v>0</v>
      </c>
      <c r="S51" s="4">
        <v>0</v>
      </c>
      <c r="T51" s="4">
        <v>33</v>
      </c>
      <c r="U51" s="4">
        <v>64</v>
      </c>
      <c r="V51" s="6">
        <f>IF(ISERROR(VLOOKUP($S$51,'TAR FIN'!$A$1:$O$85,15,0)),0,VLOOKUP($S$51,'TAR FIN'!$A$1:$O$85,15,0))</f>
        <v>0</v>
      </c>
      <c r="W51" s="6">
        <f>IF(ISERROR(VLOOKUP($T$51,'TAR FIN'!$A$1:$O$85,15,0)),0,VLOOKUP($T$51,'TAR FIN'!$A$1:$O$85,15,0))</f>
        <v>267.20999999999998</v>
      </c>
      <c r="X51" s="6">
        <f>IF(ISERROR(VLOOKUP($U$51,'TAR FIN'!$A$1:$O$85,15,0)),0,VLOOKUP($U$51,'TAR FIN'!$A$1:$O$85,15,0))</f>
        <v>273.24</v>
      </c>
      <c r="Y51" s="6"/>
      <c r="Z51" s="6">
        <f ca="1">('TUSD BE'!$AM$33+'TUSD BF'!$AM$33+'TUSD CVA'!$AM$33)*(1-CUSTOS!$M$38)</f>
        <v>292.68592240777247</v>
      </c>
      <c r="AA51" s="6">
        <f>('TE BE'!$AB$23+'TE BF'!$AB$23+'TE CVA'!$AB$23)*(1-CUSTOS!$M$38)</f>
        <v>208.48457914810089</v>
      </c>
      <c r="AB51" s="6">
        <f t="shared" si="4"/>
        <v>0</v>
      </c>
      <c r="AC51" s="6">
        <f>(L51-M51)*(W51+X51)+($W$2+$X$2-$W$51-$X$51)*(L51)</f>
        <v>6.2644999999999991</v>
      </c>
      <c r="AD51" s="6">
        <f t="shared" si="5"/>
        <v>0</v>
      </c>
      <c r="AE51" s="6">
        <f ca="1">(L51-M51)*(Z51+AA51)+($Z$2+$AA$2-$Z$51-$AA$51)*(L51)</f>
        <v>2.7191165509946393</v>
      </c>
      <c r="AF51" s="4" t="s">
        <v>570</v>
      </c>
    </row>
    <row r="52" spans="1:32" ht="11.25" customHeight="1" x14ac:dyDescent="0.3">
      <c r="A52" s="4" t="s">
        <v>21</v>
      </c>
      <c r="B52" s="4" t="s">
        <v>39</v>
      </c>
      <c r="C52" s="4" t="s">
        <v>23</v>
      </c>
      <c r="D52" s="4" t="s">
        <v>40</v>
      </c>
      <c r="E52" s="4" t="s">
        <v>48</v>
      </c>
      <c r="F52" s="4" t="s">
        <v>49</v>
      </c>
      <c r="G52" s="4" t="s">
        <v>25</v>
      </c>
      <c r="H52" s="4" t="s">
        <v>25</v>
      </c>
      <c r="I52" s="5">
        <v>44531</v>
      </c>
      <c r="J52" s="6">
        <v>0</v>
      </c>
      <c r="K52" s="6">
        <v>0</v>
      </c>
      <c r="L52" s="6">
        <v>0.1</v>
      </c>
      <c r="M52" s="6">
        <v>0.1</v>
      </c>
      <c r="N52" s="6">
        <v>0.1</v>
      </c>
      <c r="O52" s="6">
        <v>0.1</v>
      </c>
      <c r="P52" s="6">
        <v>0</v>
      </c>
      <c r="Q52" s="4" t="s">
        <v>26</v>
      </c>
      <c r="R52" s="4">
        <v>0</v>
      </c>
      <c r="S52" s="4">
        <v>0</v>
      </c>
      <c r="T52" s="4">
        <v>33</v>
      </c>
      <c r="U52" s="4">
        <v>64</v>
      </c>
      <c r="V52" s="6">
        <f>IF(ISERROR(VLOOKUP($S$52,'TAR FIN'!$A$1:$O$85,15,0)),0,VLOOKUP($S$52,'TAR FIN'!$A$1:$O$85,15,0))</f>
        <v>0</v>
      </c>
      <c r="W52" s="6">
        <f>IF(ISERROR(VLOOKUP($T$52,'TAR FIN'!$A$1:$O$85,15,0)),0,VLOOKUP($T$52,'TAR FIN'!$A$1:$O$85,15,0))</f>
        <v>267.20999999999998</v>
      </c>
      <c r="X52" s="6">
        <f>IF(ISERROR(VLOOKUP($U$52,'TAR FIN'!$A$1:$O$85,15,0)),0,VLOOKUP($U$52,'TAR FIN'!$A$1:$O$85,15,0))</f>
        <v>273.24</v>
      </c>
      <c r="Y52" s="6"/>
      <c r="Z52" s="6">
        <f ca="1">('TUSD BE'!$AM$33+'TUSD BF'!$AM$33+'TUSD CVA'!$AM$33)*(1-CUSTOS!$M$38)</f>
        <v>292.68592240777247</v>
      </c>
      <c r="AA52" s="6">
        <f>('TE BE'!$AB$23+'TE BF'!$AB$23+'TE CVA'!$AB$23)*(1-CUSTOS!$M$38)</f>
        <v>208.48457914810089</v>
      </c>
      <c r="AB52" s="6">
        <f t="shared" si="4"/>
        <v>0</v>
      </c>
      <c r="AC52" s="6">
        <f>(L52-M52)*(W52+X52)+($W$2+$X$2-$W$52-$X$52)*(L52)</f>
        <v>7.3699999999999992</v>
      </c>
      <c r="AD52" s="6">
        <f t="shared" si="5"/>
        <v>0</v>
      </c>
      <c r="AE52" s="6">
        <f ca="1">(L52-M52)*(Z52+AA52)+($Z$2+$AA$2-$Z$52-$AA$52)*(L52)</f>
        <v>3.1989606482289874</v>
      </c>
      <c r="AF52" s="4" t="s">
        <v>570</v>
      </c>
    </row>
    <row r="53" spans="1:32" ht="11.25" customHeight="1" x14ac:dyDescent="0.3">
      <c r="A53" s="4" t="s">
        <v>21</v>
      </c>
      <c r="B53" s="4" t="s">
        <v>39</v>
      </c>
      <c r="C53" s="4" t="s">
        <v>23</v>
      </c>
      <c r="D53" s="4" t="s">
        <v>40</v>
      </c>
      <c r="E53" s="4" t="s">
        <v>48</v>
      </c>
      <c r="F53" s="4" t="s">
        <v>49</v>
      </c>
      <c r="G53" s="4" t="s">
        <v>25</v>
      </c>
      <c r="H53" s="4" t="s">
        <v>25</v>
      </c>
      <c r="I53" s="5">
        <v>44562</v>
      </c>
      <c r="J53" s="6">
        <v>0</v>
      </c>
      <c r="K53" s="6">
        <v>0</v>
      </c>
      <c r="L53" s="6">
        <v>0.1</v>
      </c>
      <c r="M53" s="6">
        <v>0.1</v>
      </c>
      <c r="N53" s="6">
        <v>0.1</v>
      </c>
      <c r="O53" s="6">
        <v>0.1</v>
      </c>
      <c r="P53" s="6">
        <v>0</v>
      </c>
      <c r="Q53" s="4" t="s">
        <v>26</v>
      </c>
      <c r="R53" s="4">
        <v>0</v>
      </c>
      <c r="S53" s="4">
        <v>0</v>
      </c>
      <c r="T53" s="4">
        <v>33</v>
      </c>
      <c r="U53" s="4">
        <v>64</v>
      </c>
      <c r="V53" s="6">
        <f>IF(ISERROR(VLOOKUP($S$53,'TAR FIN'!$A$1:$O$85,15,0)),0,VLOOKUP($S$53,'TAR FIN'!$A$1:$O$85,15,0))</f>
        <v>0</v>
      </c>
      <c r="W53" s="6">
        <f>IF(ISERROR(VLOOKUP($T$53,'TAR FIN'!$A$1:$O$85,15,0)),0,VLOOKUP($T$53,'TAR FIN'!$A$1:$O$85,15,0))</f>
        <v>267.20999999999998</v>
      </c>
      <c r="X53" s="6">
        <f>IF(ISERROR(VLOOKUP($U$53,'TAR FIN'!$A$1:$O$85,15,0)),0,VLOOKUP($U$53,'TAR FIN'!$A$1:$O$85,15,0))</f>
        <v>273.24</v>
      </c>
      <c r="Y53" s="6"/>
      <c r="Z53" s="6">
        <f ca="1">('TUSD BE'!$AM$33+'TUSD BF'!$AM$33+'TUSD CVA'!$AM$33)*(1-CUSTOS!$M$38)</f>
        <v>292.68592240777247</v>
      </c>
      <c r="AA53" s="6">
        <f>('TE BE'!$AB$23+'TE BF'!$AB$23+'TE CVA'!$AB$23)*(1-CUSTOS!$M$38)</f>
        <v>208.48457914810089</v>
      </c>
      <c r="AB53" s="6">
        <f t="shared" si="4"/>
        <v>0</v>
      </c>
      <c r="AC53" s="6">
        <f>(L53-M53)*(W53+X53)+($W$2+$X$2-$W$53-$X$53)*(L53)</f>
        <v>7.3699999999999992</v>
      </c>
      <c r="AD53" s="6">
        <f t="shared" si="5"/>
        <v>0</v>
      </c>
      <c r="AE53" s="6">
        <f ca="1">(L53-M53)*(Z53+AA53)+($Z$2+$AA$2-$Z$53-$AA$53)*(L53)</f>
        <v>3.1989606482289874</v>
      </c>
      <c r="AF53" s="4" t="s">
        <v>570</v>
      </c>
    </row>
    <row r="54" spans="1:32" ht="11.25" customHeight="1" x14ac:dyDescent="0.3">
      <c r="A54" s="4" t="s">
        <v>21</v>
      </c>
      <c r="B54" s="4" t="s">
        <v>39</v>
      </c>
      <c r="C54" s="4" t="s">
        <v>23</v>
      </c>
      <c r="D54" s="4" t="s">
        <v>40</v>
      </c>
      <c r="E54" s="4" t="s">
        <v>48</v>
      </c>
      <c r="F54" s="4" t="s">
        <v>49</v>
      </c>
      <c r="G54" s="4" t="s">
        <v>25</v>
      </c>
      <c r="H54" s="4" t="s">
        <v>25</v>
      </c>
      <c r="I54" s="5">
        <v>44593</v>
      </c>
      <c r="J54" s="6">
        <v>0</v>
      </c>
      <c r="K54" s="6">
        <v>0</v>
      </c>
      <c r="L54" s="6">
        <v>9.5000000000000001E-2</v>
      </c>
      <c r="M54" s="6">
        <v>9.5000000000000001E-2</v>
      </c>
      <c r="N54" s="6">
        <v>9.5000000000000001E-2</v>
      </c>
      <c r="O54" s="6">
        <v>9.5000000000000001E-2</v>
      </c>
      <c r="P54" s="6">
        <v>0</v>
      </c>
      <c r="Q54" s="4" t="s">
        <v>26</v>
      </c>
      <c r="R54" s="4">
        <v>0</v>
      </c>
      <c r="S54" s="4">
        <v>0</v>
      </c>
      <c r="T54" s="4">
        <v>33</v>
      </c>
      <c r="U54" s="4">
        <v>64</v>
      </c>
      <c r="V54" s="6">
        <f>IF(ISERROR(VLOOKUP($S$54,'TAR FIN'!$A$1:$O$85,15,0)),0,VLOOKUP($S$54,'TAR FIN'!$A$1:$O$85,15,0))</f>
        <v>0</v>
      </c>
      <c r="W54" s="6">
        <f>IF(ISERROR(VLOOKUP($T$54,'TAR FIN'!$A$1:$O$85,15,0)),0,VLOOKUP($T$54,'TAR FIN'!$A$1:$O$85,15,0))</f>
        <v>267.20999999999998</v>
      </c>
      <c r="X54" s="6">
        <f>IF(ISERROR(VLOOKUP($U$54,'TAR FIN'!$A$1:$O$85,15,0)),0,VLOOKUP($U$54,'TAR FIN'!$A$1:$O$85,15,0))</f>
        <v>273.24</v>
      </c>
      <c r="Y54" s="6"/>
      <c r="Z54" s="6">
        <f ca="1">('TUSD BE'!$AM$33+'TUSD BF'!$AM$33+'TUSD CVA'!$AM$33)*(1-CUSTOS!$M$38)</f>
        <v>292.68592240777247</v>
      </c>
      <c r="AA54" s="6">
        <f>('TE BE'!$AB$23+'TE BF'!$AB$23+'TE CVA'!$AB$23)*(1-CUSTOS!$M$38)</f>
        <v>208.48457914810089</v>
      </c>
      <c r="AB54" s="6">
        <f t="shared" si="4"/>
        <v>0</v>
      </c>
      <c r="AC54" s="6">
        <f>(L54-M54)*(W54+X54)+($W$2+$X$2-$W$54-$X$54)*(L54)</f>
        <v>7.0014999999999992</v>
      </c>
      <c r="AD54" s="6">
        <f t="shared" si="5"/>
        <v>0</v>
      </c>
      <c r="AE54" s="6">
        <f ca="1">(L54-M54)*(Z54+AA54)+($Z$2+$AA$2-$Z$54-$AA$54)*(L54)</f>
        <v>3.0390126158175379</v>
      </c>
      <c r="AF54" s="4" t="s">
        <v>570</v>
      </c>
    </row>
    <row r="55" spans="1:32" ht="11.25" customHeight="1" x14ac:dyDescent="0.3">
      <c r="A55" s="4" t="s">
        <v>21</v>
      </c>
      <c r="B55" s="4" t="s">
        <v>39</v>
      </c>
      <c r="C55" s="4" t="s">
        <v>23</v>
      </c>
      <c r="D55" s="4" t="s">
        <v>40</v>
      </c>
      <c r="E55" s="4" t="s">
        <v>48</v>
      </c>
      <c r="F55" s="4" t="s">
        <v>49</v>
      </c>
      <c r="G55" s="4" t="s">
        <v>25</v>
      </c>
      <c r="H55" s="4" t="s">
        <v>25</v>
      </c>
      <c r="I55" s="5">
        <v>44621</v>
      </c>
      <c r="J55" s="6">
        <v>0</v>
      </c>
      <c r="K55" s="6">
        <v>0</v>
      </c>
      <c r="L55" s="6">
        <v>9.7000000000000003E-2</v>
      </c>
      <c r="M55" s="6">
        <v>9.7000000000000003E-2</v>
      </c>
      <c r="N55" s="6">
        <v>9.7000000000000003E-2</v>
      </c>
      <c r="O55" s="6">
        <v>9.7000000000000003E-2</v>
      </c>
      <c r="P55" s="6">
        <v>0</v>
      </c>
      <c r="Q55" s="4" t="s">
        <v>26</v>
      </c>
      <c r="R55" s="4">
        <v>0</v>
      </c>
      <c r="S55" s="4">
        <v>0</v>
      </c>
      <c r="T55" s="4">
        <v>33</v>
      </c>
      <c r="U55" s="4">
        <v>64</v>
      </c>
      <c r="V55" s="6">
        <f>IF(ISERROR(VLOOKUP($S$55,'TAR FIN'!$A$1:$O$85,15,0)),0,VLOOKUP($S$55,'TAR FIN'!$A$1:$O$85,15,0))</f>
        <v>0</v>
      </c>
      <c r="W55" s="6">
        <f>IF(ISERROR(VLOOKUP($T$55,'TAR FIN'!$A$1:$O$85,15,0)),0,VLOOKUP($T$55,'TAR FIN'!$A$1:$O$85,15,0))</f>
        <v>267.20999999999998</v>
      </c>
      <c r="X55" s="6">
        <f>IF(ISERROR(VLOOKUP($U$55,'TAR FIN'!$A$1:$O$85,15,0)),0,VLOOKUP($U$55,'TAR FIN'!$A$1:$O$85,15,0))</f>
        <v>273.24</v>
      </c>
      <c r="Y55" s="6"/>
      <c r="Z55" s="6">
        <f ca="1">('TUSD BE'!$AM$33+'TUSD BF'!$AM$33+'TUSD CVA'!$AM$33)*(1-CUSTOS!$M$38)</f>
        <v>292.68592240777247</v>
      </c>
      <c r="AA55" s="6">
        <f>('TE BE'!$AB$23+'TE BF'!$AB$23+'TE CVA'!$AB$23)*(1-CUSTOS!$M$38)</f>
        <v>208.48457914810089</v>
      </c>
      <c r="AB55" s="6">
        <f t="shared" si="4"/>
        <v>0</v>
      </c>
      <c r="AC55" s="6">
        <f>(L55-M55)*(W55+X55)+($W$2+$X$2-$W$55-$X$55)*(L55)</f>
        <v>7.1488999999999994</v>
      </c>
      <c r="AD55" s="6">
        <f t="shared" si="5"/>
        <v>0</v>
      </c>
      <c r="AE55" s="6">
        <f ca="1">(L55-M55)*(Z55+AA55)+($Z$2+$AA$2-$Z$55-$AA$55)*(L55)</f>
        <v>3.1029918287821179</v>
      </c>
      <c r="AF55" s="4" t="s">
        <v>570</v>
      </c>
    </row>
    <row r="56" spans="1:32" ht="11.25" customHeight="1" x14ac:dyDescent="0.3">
      <c r="A56" s="4" t="s">
        <v>21</v>
      </c>
      <c r="B56" s="4" t="s">
        <v>39</v>
      </c>
      <c r="C56" s="4" t="s">
        <v>23</v>
      </c>
      <c r="D56" s="4" t="s">
        <v>40</v>
      </c>
      <c r="E56" s="4" t="s">
        <v>48</v>
      </c>
      <c r="F56" s="4" t="s">
        <v>49</v>
      </c>
      <c r="G56" s="4" t="s">
        <v>25</v>
      </c>
      <c r="H56" s="4" t="s">
        <v>25</v>
      </c>
      <c r="I56" s="5">
        <v>44652</v>
      </c>
      <c r="J56" s="6">
        <v>0</v>
      </c>
      <c r="K56" s="6">
        <v>0</v>
      </c>
      <c r="L56" s="6">
        <v>9.6000000000000002E-2</v>
      </c>
      <c r="M56" s="6">
        <v>9.6000000000000002E-2</v>
      </c>
      <c r="N56" s="6">
        <v>9.6000000000000002E-2</v>
      </c>
      <c r="O56" s="6">
        <v>9.6000000000000002E-2</v>
      </c>
      <c r="P56" s="6">
        <v>0</v>
      </c>
      <c r="Q56" s="4" t="s">
        <v>26</v>
      </c>
      <c r="R56" s="4">
        <v>0</v>
      </c>
      <c r="S56" s="4">
        <v>0</v>
      </c>
      <c r="T56" s="4">
        <v>33</v>
      </c>
      <c r="U56" s="4">
        <v>64</v>
      </c>
      <c r="V56" s="6">
        <f>IF(ISERROR(VLOOKUP($S$56,'TAR FIN'!$A$1:$O$85,15,0)),0,VLOOKUP($S$56,'TAR FIN'!$A$1:$O$85,15,0))</f>
        <v>0</v>
      </c>
      <c r="W56" s="6">
        <f>IF(ISERROR(VLOOKUP($T$56,'TAR FIN'!$A$1:$O$85,15,0)),0,VLOOKUP($T$56,'TAR FIN'!$A$1:$O$85,15,0))</f>
        <v>267.20999999999998</v>
      </c>
      <c r="X56" s="6">
        <f>IF(ISERROR(VLOOKUP($U$56,'TAR FIN'!$A$1:$O$85,15,0)),0,VLOOKUP($U$56,'TAR FIN'!$A$1:$O$85,15,0))</f>
        <v>273.24</v>
      </c>
      <c r="Y56" s="6"/>
      <c r="Z56" s="6">
        <f ca="1">('TUSD BE'!$AM$33+'TUSD BF'!$AM$33+'TUSD CVA'!$AM$33)*(1-CUSTOS!$M$38)</f>
        <v>292.68592240777247</v>
      </c>
      <c r="AA56" s="6">
        <f>('TE BE'!$AB$23+'TE BF'!$AB$23+'TE CVA'!$AB$23)*(1-CUSTOS!$M$38)</f>
        <v>208.48457914810089</v>
      </c>
      <c r="AB56" s="6">
        <f t="shared" si="4"/>
        <v>0</v>
      </c>
      <c r="AC56" s="6">
        <f>(L56-M56)*(W56+X56)+($W$2+$X$2-$W$56-$X$56)*(L56)</f>
        <v>7.0751999999999988</v>
      </c>
      <c r="AD56" s="6">
        <f t="shared" si="5"/>
        <v>0</v>
      </c>
      <c r="AE56" s="6">
        <f ca="1">(L56-M56)*(Z56+AA56)+($Z$2+$AA$2-$Z$56-$AA$56)*(L56)</f>
        <v>3.0710022222998279</v>
      </c>
      <c r="AF56" s="4" t="s">
        <v>570</v>
      </c>
    </row>
    <row r="57" spans="1:32" ht="11.25" customHeight="1" x14ac:dyDescent="0.3">
      <c r="A57" s="4" t="s">
        <v>21</v>
      </c>
      <c r="B57" s="4" t="s">
        <v>39</v>
      </c>
      <c r="C57" s="4" t="s">
        <v>23</v>
      </c>
      <c r="D57" s="4" t="s">
        <v>40</v>
      </c>
      <c r="E57" s="4" t="s">
        <v>48</v>
      </c>
      <c r="F57" s="4" t="s">
        <v>49</v>
      </c>
      <c r="G57" s="4" t="s">
        <v>25</v>
      </c>
      <c r="H57" s="4" t="s">
        <v>25</v>
      </c>
      <c r="I57" s="5">
        <v>44682</v>
      </c>
      <c r="J57" s="6">
        <v>0</v>
      </c>
      <c r="K57" s="6">
        <v>0</v>
      </c>
      <c r="L57" s="6">
        <v>0.1</v>
      </c>
      <c r="M57" s="6">
        <v>0.1</v>
      </c>
      <c r="N57" s="6">
        <v>0.1</v>
      </c>
      <c r="O57" s="6">
        <v>0.1</v>
      </c>
      <c r="P57" s="6">
        <v>0</v>
      </c>
      <c r="Q57" s="4" t="s">
        <v>26</v>
      </c>
      <c r="R57" s="4">
        <v>0</v>
      </c>
      <c r="S57" s="4">
        <v>0</v>
      </c>
      <c r="T57" s="4">
        <v>33</v>
      </c>
      <c r="U57" s="4">
        <v>64</v>
      </c>
      <c r="V57" s="6">
        <f>IF(ISERROR(VLOOKUP($S$57,'TAR FIN'!$A$1:$O$85,15,0)),0,VLOOKUP($S$57,'TAR FIN'!$A$1:$O$85,15,0))</f>
        <v>0</v>
      </c>
      <c r="W57" s="6">
        <f>IF(ISERROR(VLOOKUP($T$57,'TAR FIN'!$A$1:$O$85,15,0)),0,VLOOKUP($T$57,'TAR FIN'!$A$1:$O$85,15,0))</f>
        <v>267.20999999999998</v>
      </c>
      <c r="X57" s="6">
        <f>IF(ISERROR(VLOOKUP($U$57,'TAR FIN'!$A$1:$O$85,15,0)),0,VLOOKUP($U$57,'TAR FIN'!$A$1:$O$85,15,0))</f>
        <v>273.24</v>
      </c>
      <c r="Y57" s="6"/>
      <c r="Z57" s="6">
        <f ca="1">('TUSD BE'!$AM$33+'TUSD BF'!$AM$33+'TUSD CVA'!$AM$33)*(1-CUSTOS!$M$38)</f>
        <v>292.68592240777247</v>
      </c>
      <c r="AA57" s="6">
        <f>('TE BE'!$AB$23+'TE BF'!$AB$23+'TE CVA'!$AB$23)*(1-CUSTOS!$M$38)</f>
        <v>208.48457914810089</v>
      </c>
      <c r="AB57" s="6">
        <f t="shared" si="4"/>
        <v>0</v>
      </c>
      <c r="AC57" s="6">
        <f>(L57-M57)*(W57+X57)+($W$2+$X$2-$W$57-$X$57)*(L57)</f>
        <v>7.3699999999999992</v>
      </c>
      <c r="AD57" s="6">
        <f t="shared" si="5"/>
        <v>0</v>
      </c>
      <c r="AE57" s="6">
        <f ca="1">(L57-M57)*(Z57+AA57)+($Z$2+$AA$2-$Z$57-$AA$57)*(L57)</f>
        <v>3.1989606482289874</v>
      </c>
      <c r="AF57" s="4" t="s">
        <v>570</v>
      </c>
    </row>
    <row r="58" spans="1:32" ht="11.25" customHeight="1" x14ac:dyDescent="0.3">
      <c r="A58" s="4" t="s">
        <v>21</v>
      </c>
      <c r="B58" s="4" t="s">
        <v>39</v>
      </c>
      <c r="C58" s="4" t="s">
        <v>23</v>
      </c>
      <c r="D58" s="4" t="s">
        <v>40</v>
      </c>
      <c r="E58" s="4" t="s">
        <v>48</v>
      </c>
      <c r="F58" s="4" t="s">
        <v>50</v>
      </c>
      <c r="G58" s="4" t="s">
        <v>25</v>
      </c>
      <c r="H58" s="4" t="s">
        <v>25</v>
      </c>
      <c r="I58" s="5">
        <v>44440</v>
      </c>
      <c r="J58" s="6">
        <v>0</v>
      </c>
      <c r="K58" s="6">
        <v>0</v>
      </c>
      <c r="L58" s="6">
        <v>6.0000000000000001E-3</v>
      </c>
      <c r="M58" s="6">
        <v>2.3999999999999998E-3</v>
      </c>
      <c r="N58" s="6">
        <v>6.0000000000000001E-3</v>
      </c>
      <c r="O58" s="6">
        <v>2.3999999999999998E-3</v>
      </c>
      <c r="P58" s="6">
        <v>0</v>
      </c>
      <c r="Q58" s="4" t="s">
        <v>26</v>
      </c>
      <c r="R58" s="4">
        <v>0</v>
      </c>
      <c r="S58" s="4">
        <v>0</v>
      </c>
      <c r="T58" s="4">
        <v>26</v>
      </c>
      <c r="U58" s="4">
        <v>64</v>
      </c>
      <c r="V58" s="6">
        <f>IF(ISERROR(VLOOKUP($S$58,'TAR FIN'!$A$1:$O$85,15,0)),0,VLOOKUP($S$58,'TAR FIN'!$A$1:$O$85,15,0))</f>
        <v>0</v>
      </c>
      <c r="W58" s="6">
        <f>IF(ISERROR(VLOOKUP($T$58,'TAR FIN'!$A$1:$O$85,15,0)),0,VLOOKUP($T$58,'TAR FIN'!$A$1:$O$85,15,0))</f>
        <v>255.06</v>
      </c>
      <c r="X58" s="6">
        <f>IF(ISERROR(VLOOKUP($U$58,'TAR FIN'!$A$1:$O$85,15,0)),0,VLOOKUP($U$58,'TAR FIN'!$A$1:$O$85,15,0))</f>
        <v>273.24</v>
      </c>
      <c r="Y58" s="6"/>
      <c r="Z58" s="6">
        <f ca="1">('TUSD BE'!$AM$33+'TUSD BF'!$AM$33+'TUSD CVA'!$AM$33)*(1-CUSTOS!$M$38)</f>
        <v>292.68592240777247</v>
      </c>
      <c r="AA58" s="6">
        <f>('TE BE'!$AB$23+'TE BF'!$AB$23+'TE CVA'!$AB$23)*(1-CUSTOS!$M$38)</f>
        <v>208.48457914810089</v>
      </c>
      <c r="AB58" s="6">
        <f t="shared" si="4"/>
        <v>0</v>
      </c>
      <c r="AC58" s="6">
        <f>(L58-M58)*(W58+X58)+($W$2+$X$2-$W$58-$X$58)*(L58)</f>
        <v>2.4169799999999997</v>
      </c>
      <c r="AD58" s="6">
        <f t="shared" si="5"/>
        <v>0</v>
      </c>
      <c r="AE58" s="6">
        <f ca="1">(L58-M58)*(Z58+AA58)+($Z$2+$AA$2-$Z$58-$AA$58)*(L58)</f>
        <v>1.9961514444948834</v>
      </c>
      <c r="AF58" s="4" t="s">
        <v>571</v>
      </c>
    </row>
    <row r="59" spans="1:32" ht="11.25" customHeight="1" x14ac:dyDescent="0.3">
      <c r="A59" s="4" t="s">
        <v>21</v>
      </c>
      <c r="B59" s="4" t="s">
        <v>39</v>
      </c>
      <c r="C59" s="4" t="s">
        <v>23</v>
      </c>
      <c r="D59" s="4" t="s">
        <v>40</v>
      </c>
      <c r="E59" s="4" t="s">
        <v>48</v>
      </c>
      <c r="F59" s="4" t="s">
        <v>50</v>
      </c>
      <c r="G59" s="4" t="s">
        <v>25</v>
      </c>
      <c r="H59" s="4" t="s">
        <v>25</v>
      </c>
      <c r="I59" s="5">
        <v>44470</v>
      </c>
      <c r="J59" s="6">
        <v>0</v>
      </c>
      <c r="K59" s="6">
        <v>0</v>
      </c>
      <c r="L59" s="6">
        <v>1.4999999999999999E-2</v>
      </c>
      <c r="M59" s="6">
        <v>6.0000000000000001E-3</v>
      </c>
      <c r="N59" s="6">
        <v>1.4999999999999999E-2</v>
      </c>
      <c r="O59" s="6">
        <v>6.0000000000000001E-3</v>
      </c>
      <c r="P59" s="6">
        <v>0</v>
      </c>
      <c r="Q59" s="4" t="s">
        <v>26</v>
      </c>
      <c r="R59" s="4">
        <v>0</v>
      </c>
      <c r="S59" s="4">
        <v>0</v>
      </c>
      <c r="T59" s="4">
        <v>26</v>
      </c>
      <c r="U59" s="4">
        <v>64</v>
      </c>
      <c r="V59" s="6">
        <f>IF(ISERROR(VLOOKUP($S$59,'TAR FIN'!$A$1:$O$85,15,0)),0,VLOOKUP($S$59,'TAR FIN'!$A$1:$O$85,15,0))</f>
        <v>0</v>
      </c>
      <c r="W59" s="6">
        <f>IF(ISERROR(VLOOKUP($T$59,'TAR FIN'!$A$1:$O$85,15,0)),0,VLOOKUP($T$59,'TAR FIN'!$A$1:$O$85,15,0))</f>
        <v>255.06</v>
      </c>
      <c r="X59" s="6">
        <f>IF(ISERROR(VLOOKUP($U$59,'TAR FIN'!$A$1:$O$85,15,0)),0,VLOOKUP($U$59,'TAR FIN'!$A$1:$O$85,15,0))</f>
        <v>273.24</v>
      </c>
      <c r="Y59" s="6"/>
      <c r="Z59" s="6">
        <f ca="1">('TUSD BE'!$AM$33+'TUSD BF'!$AM$33+'TUSD CVA'!$AM$33)*(1-CUSTOS!$M$38)</f>
        <v>292.68592240777247</v>
      </c>
      <c r="AA59" s="6">
        <f>('TE BE'!$AB$23+'TE BF'!$AB$23+'TE CVA'!$AB$23)*(1-CUSTOS!$M$38)</f>
        <v>208.48457914810089</v>
      </c>
      <c r="AB59" s="6">
        <f t="shared" si="4"/>
        <v>0</v>
      </c>
      <c r="AC59" s="6">
        <f>(L59-M59)*(W59+X59)+($W$2+$X$2-$W$59-$X$59)*(L59)</f>
        <v>6.0424499999999988</v>
      </c>
      <c r="AD59" s="6">
        <f t="shared" si="5"/>
        <v>0</v>
      </c>
      <c r="AE59" s="6">
        <f ca="1">(L59-M59)*(Z59+AA59)+($Z$2+$AA$2-$Z$59-$AA$59)*(L59)</f>
        <v>4.9903786112372082</v>
      </c>
      <c r="AF59" s="4" t="s">
        <v>571</v>
      </c>
    </row>
    <row r="60" spans="1:32" ht="11.25" customHeight="1" x14ac:dyDescent="0.3">
      <c r="A60" s="4" t="s">
        <v>21</v>
      </c>
      <c r="B60" s="4" t="s">
        <v>39</v>
      </c>
      <c r="C60" s="4" t="s">
        <v>23</v>
      </c>
      <c r="D60" s="4" t="s">
        <v>40</v>
      </c>
      <c r="E60" s="4" t="s">
        <v>48</v>
      </c>
      <c r="F60" s="4" t="s">
        <v>50</v>
      </c>
      <c r="G60" s="4" t="s">
        <v>25</v>
      </c>
      <c r="H60" s="4" t="s">
        <v>25</v>
      </c>
      <c r="I60" s="5">
        <v>44501</v>
      </c>
      <c r="J60" s="6">
        <v>0</v>
      </c>
      <c r="K60" s="6">
        <v>0</v>
      </c>
      <c r="L60" s="6">
        <v>1.4999999999999999E-2</v>
      </c>
      <c r="M60" s="6">
        <v>6.0000000000000001E-3</v>
      </c>
      <c r="N60" s="6">
        <v>1.4999999999999999E-2</v>
      </c>
      <c r="O60" s="6">
        <v>6.0000000000000001E-3</v>
      </c>
      <c r="P60" s="6">
        <v>0</v>
      </c>
      <c r="Q60" s="4" t="s">
        <v>26</v>
      </c>
      <c r="R60" s="4">
        <v>0</v>
      </c>
      <c r="S60" s="4">
        <v>0</v>
      </c>
      <c r="T60" s="4">
        <v>26</v>
      </c>
      <c r="U60" s="4">
        <v>64</v>
      </c>
      <c r="V60" s="6">
        <f>IF(ISERROR(VLOOKUP($S$60,'TAR FIN'!$A$1:$O$85,15,0)),0,VLOOKUP($S$60,'TAR FIN'!$A$1:$O$85,15,0))</f>
        <v>0</v>
      </c>
      <c r="W60" s="6">
        <f>IF(ISERROR(VLOOKUP($T$60,'TAR FIN'!$A$1:$O$85,15,0)),0,VLOOKUP($T$60,'TAR FIN'!$A$1:$O$85,15,0))</f>
        <v>255.06</v>
      </c>
      <c r="X60" s="6">
        <f>IF(ISERROR(VLOOKUP($U$60,'TAR FIN'!$A$1:$O$85,15,0)),0,VLOOKUP($U$60,'TAR FIN'!$A$1:$O$85,15,0))</f>
        <v>273.24</v>
      </c>
      <c r="Y60" s="6"/>
      <c r="Z60" s="6">
        <f ca="1">('TUSD BE'!$AM$33+'TUSD BF'!$AM$33+'TUSD CVA'!$AM$33)*(1-CUSTOS!$M$38)</f>
        <v>292.68592240777247</v>
      </c>
      <c r="AA60" s="6">
        <f>('TE BE'!$AB$23+'TE BF'!$AB$23+'TE CVA'!$AB$23)*(1-CUSTOS!$M$38)</f>
        <v>208.48457914810089</v>
      </c>
      <c r="AB60" s="6">
        <f t="shared" si="4"/>
        <v>0</v>
      </c>
      <c r="AC60" s="6">
        <f>(L60-M60)*(W60+X60)+($W$2+$X$2-$W$60-$X$60)*(L60)</f>
        <v>6.0424499999999988</v>
      </c>
      <c r="AD60" s="6">
        <f t="shared" si="5"/>
        <v>0</v>
      </c>
      <c r="AE60" s="6">
        <f ca="1">(L60-M60)*(Z60+AA60)+($Z$2+$AA$2-$Z$60-$AA$60)*(L60)</f>
        <v>4.9903786112372082</v>
      </c>
      <c r="AF60" s="4" t="s">
        <v>571</v>
      </c>
    </row>
    <row r="61" spans="1:32" ht="11.25" customHeight="1" x14ac:dyDescent="0.3">
      <c r="A61" s="4" t="s">
        <v>21</v>
      </c>
      <c r="B61" s="4" t="s">
        <v>39</v>
      </c>
      <c r="C61" s="4" t="s">
        <v>23</v>
      </c>
      <c r="D61" s="4" t="s">
        <v>40</v>
      </c>
      <c r="E61" s="4" t="s">
        <v>48</v>
      </c>
      <c r="F61" s="4" t="s">
        <v>50</v>
      </c>
      <c r="G61" s="4" t="s">
        <v>25</v>
      </c>
      <c r="H61" s="4" t="s">
        <v>25</v>
      </c>
      <c r="I61" s="5">
        <v>44593</v>
      </c>
      <c r="J61" s="6">
        <v>0</v>
      </c>
      <c r="K61" s="6">
        <v>0</v>
      </c>
      <c r="L61" s="6">
        <v>5.0000000000000001E-3</v>
      </c>
      <c r="M61" s="6">
        <v>2E-3</v>
      </c>
      <c r="N61" s="6">
        <v>5.0000000000000001E-3</v>
      </c>
      <c r="O61" s="6">
        <v>2E-3</v>
      </c>
      <c r="P61" s="6">
        <v>0</v>
      </c>
      <c r="Q61" s="4" t="s">
        <v>26</v>
      </c>
      <c r="R61" s="4">
        <v>0</v>
      </c>
      <c r="S61" s="4">
        <v>0</v>
      </c>
      <c r="T61" s="4">
        <v>26</v>
      </c>
      <c r="U61" s="4">
        <v>64</v>
      </c>
      <c r="V61" s="6">
        <f>IF(ISERROR(VLOOKUP($S$61,'TAR FIN'!$A$1:$O$85,15,0)),0,VLOOKUP($S$61,'TAR FIN'!$A$1:$O$85,15,0))</f>
        <v>0</v>
      </c>
      <c r="W61" s="6">
        <f>IF(ISERROR(VLOOKUP($T$61,'TAR FIN'!$A$1:$O$85,15,0)),0,VLOOKUP($T$61,'TAR FIN'!$A$1:$O$85,15,0))</f>
        <v>255.06</v>
      </c>
      <c r="X61" s="6">
        <f>IF(ISERROR(VLOOKUP($U$61,'TAR FIN'!$A$1:$O$85,15,0)),0,VLOOKUP($U$61,'TAR FIN'!$A$1:$O$85,15,0))</f>
        <v>273.24</v>
      </c>
      <c r="Y61" s="6"/>
      <c r="Z61" s="6">
        <f ca="1">('TUSD BE'!$AM$33+'TUSD BF'!$AM$33+'TUSD CVA'!$AM$33)*(1-CUSTOS!$M$38)</f>
        <v>292.68592240777247</v>
      </c>
      <c r="AA61" s="6">
        <f>('TE BE'!$AB$23+'TE BF'!$AB$23+'TE CVA'!$AB$23)*(1-CUSTOS!$M$38)</f>
        <v>208.48457914810089</v>
      </c>
      <c r="AB61" s="6">
        <f t="shared" si="4"/>
        <v>0</v>
      </c>
      <c r="AC61" s="6">
        <f>(L61-M61)*(W61+X61)+($W$2+$X$2-$W$61-$X$61)*(L61)</f>
        <v>2.0141499999999999</v>
      </c>
      <c r="AD61" s="6">
        <f t="shared" si="5"/>
        <v>0</v>
      </c>
      <c r="AE61" s="6">
        <f ca="1">(L61-M61)*(Z61+AA61)+($Z$2+$AA$2-$Z$61-$AA$61)*(L61)</f>
        <v>1.6634595370790692</v>
      </c>
      <c r="AF61" s="4" t="s">
        <v>571</v>
      </c>
    </row>
    <row r="62" spans="1:32" ht="11.25" customHeight="1" x14ac:dyDescent="0.3">
      <c r="A62" s="4" t="s">
        <v>21</v>
      </c>
      <c r="B62" s="4" t="s">
        <v>39</v>
      </c>
      <c r="C62" s="4" t="s">
        <v>23</v>
      </c>
      <c r="D62" s="4" t="s">
        <v>40</v>
      </c>
      <c r="E62" s="4" t="s">
        <v>48</v>
      </c>
      <c r="F62" s="4" t="s">
        <v>50</v>
      </c>
      <c r="G62" s="4" t="s">
        <v>25</v>
      </c>
      <c r="H62" s="4" t="s">
        <v>25</v>
      </c>
      <c r="I62" s="5">
        <v>44621</v>
      </c>
      <c r="J62" s="6">
        <v>0</v>
      </c>
      <c r="K62" s="6">
        <v>0</v>
      </c>
      <c r="L62" s="6">
        <v>3.0000000000000001E-3</v>
      </c>
      <c r="M62" s="6">
        <v>1.1999999999999999E-3</v>
      </c>
      <c r="N62" s="6">
        <v>3.0000000000000001E-3</v>
      </c>
      <c r="O62" s="6">
        <v>1.1999999999999999E-3</v>
      </c>
      <c r="P62" s="6">
        <v>0</v>
      </c>
      <c r="Q62" s="4" t="s">
        <v>26</v>
      </c>
      <c r="R62" s="4">
        <v>0</v>
      </c>
      <c r="S62" s="4">
        <v>0</v>
      </c>
      <c r="T62" s="4">
        <v>26</v>
      </c>
      <c r="U62" s="4">
        <v>64</v>
      </c>
      <c r="V62" s="6">
        <f>IF(ISERROR(VLOOKUP($S$62,'TAR FIN'!$A$1:$O$85,15,0)),0,VLOOKUP($S$62,'TAR FIN'!$A$1:$O$85,15,0))</f>
        <v>0</v>
      </c>
      <c r="W62" s="6">
        <f>IF(ISERROR(VLOOKUP($T$62,'TAR FIN'!$A$1:$O$85,15,0)),0,VLOOKUP($T$62,'TAR FIN'!$A$1:$O$85,15,0))</f>
        <v>255.06</v>
      </c>
      <c r="X62" s="6">
        <f>IF(ISERROR(VLOOKUP($U$62,'TAR FIN'!$A$1:$O$85,15,0)),0,VLOOKUP($U$62,'TAR FIN'!$A$1:$O$85,15,0))</f>
        <v>273.24</v>
      </c>
      <c r="Y62" s="6"/>
      <c r="Z62" s="6">
        <f ca="1">('TUSD BE'!$AM$33+'TUSD BF'!$AM$33+'TUSD CVA'!$AM$33)*(1-CUSTOS!$M$38)</f>
        <v>292.68592240777247</v>
      </c>
      <c r="AA62" s="6">
        <f>('TE BE'!$AB$23+'TE BF'!$AB$23+'TE CVA'!$AB$23)*(1-CUSTOS!$M$38)</f>
        <v>208.48457914810089</v>
      </c>
      <c r="AB62" s="6">
        <f t="shared" si="4"/>
        <v>0</v>
      </c>
      <c r="AC62" s="6">
        <f>(L62-M62)*(W62+X62)+($W$2+$X$2-$W$62-$X$62)*(L62)</f>
        <v>1.2084899999999998</v>
      </c>
      <c r="AD62" s="6">
        <f t="shared" si="5"/>
        <v>0</v>
      </c>
      <c r="AE62" s="6">
        <f ca="1">(L62-M62)*(Z62+AA62)+($Z$2+$AA$2-$Z$62-$AA$62)*(L62)</f>
        <v>0.99807572224744168</v>
      </c>
      <c r="AF62" s="4" t="s">
        <v>571</v>
      </c>
    </row>
    <row r="63" spans="1:32" ht="11.25" customHeight="1" x14ac:dyDescent="0.3">
      <c r="A63" s="4" t="s">
        <v>21</v>
      </c>
      <c r="B63" s="4" t="s">
        <v>39</v>
      </c>
      <c r="C63" s="4" t="s">
        <v>23</v>
      </c>
      <c r="D63" s="4" t="s">
        <v>40</v>
      </c>
      <c r="E63" s="4" t="s">
        <v>48</v>
      </c>
      <c r="F63" s="4" t="s">
        <v>50</v>
      </c>
      <c r="G63" s="4" t="s">
        <v>25</v>
      </c>
      <c r="H63" s="4" t="s">
        <v>25</v>
      </c>
      <c r="I63" s="5">
        <v>44652</v>
      </c>
      <c r="J63" s="6">
        <v>0</v>
      </c>
      <c r="K63" s="6">
        <v>0</v>
      </c>
      <c r="L63" s="6">
        <v>4.0000000000000001E-3</v>
      </c>
      <c r="M63" s="6">
        <v>1.6000000000000001E-3</v>
      </c>
      <c r="N63" s="6">
        <v>4.0000000000000001E-3</v>
      </c>
      <c r="O63" s="6">
        <v>1.6000000000000001E-3</v>
      </c>
      <c r="P63" s="6">
        <v>0</v>
      </c>
      <c r="Q63" s="4" t="s">
        <v>26</v>
      </c>
      <c r="R63" s="4">
        <v>0</v>
      </c>
      <c r="S63" s="4">
        <v>0</v>
      </c>
      <c r="T63" s="4">
        <v>26</v>
      </c>
      <c r="U63" s="4">
        <v>64</v>
      </c>
      <c r="V63" s="6">
        <f>IF(ISERROR(VLOOKUP($S$63,'TAR FIN'!$A$1:$O$85,15,0)),0,VLOOKUP($S$63,'TAR FIN'!$A$1:$O$85,15,0))</f>
        <v>0</v>
      </c>
      <c r="W63" s="6">
        <f>IF(ISERROR(VLOOKUP($T$63,'TAR FIN'!$A$1:$O$85,15,0)),0,VLOOKUP($T$63,'TAR FIN'!$A$1:$O$85,15,0))</f>
        <v>255.06</v>
      </c>
      <c r="X63" s="6">
        <f>IF(ISERROR(VLOOKUP($U$63,'TAR FIN'!$A$1:$O$85,15,0)),0,VLOOKUP($U$63,'TAR FIN'!$A$1:$O$85,15,0))</f>
        <v>273.24</v>
      </c>
      <c r="Y63" s="6"/>
      <c r="Z63" s="6">
        <f ca="1">('TUSD BE'!$AM$33+'TUSD BF'!$AM$33+'TUSD CVA'!$AM$33)*(1-CUSTOS!$M$38)</f>
        <v>292.68592240777247</v>
      </c>
      <c r="AA63" s="6">
        <f>('TE BE'!$AB$23+'TE BF'!$AB$23+'TE CVA'!$AB$23)*(1-CUSTOS!$M$38)</f>
        <v>208.48457914810089</v>
      </c>
      <c r="AB63" s="6">
        <f t="shared" si="4"/>
        <v>0</v>
      </c>
      <c r="AC63" s="6">
        <f>(L63-M63)*(W63+X63)+($W$2+$X$2-$W$63-$X$63)*(L63)</f>
        <v>1.6113199999999999</v>
      </c>
      <c r="AD63" s="6">
        <f t="shared" si="5"/>
        <v>0</v>
      </c>
      <c r="AE63" s="6">
        <f ca="1">(L63-M63)*(Z63+AA63)+($Z$2+$AA$2-$Z$63-$AA$63)*(L63)</f>
        <v>1.3307676296632556</v>
      </c>
      <c r="AF63" s="4" t="s">
        <v>571</v>
      </c>
    </row>
    <row r="64" spans="1:32" ht="11.25" customHeight="1" x14ac:dyDescent="0.3">
      <c r="A64" s="4" t="s">
        <v>21</v>
      </c>
      <c r="B64" s="4" t="s">
        <v>39</v>
      </c>
      <c r="C64" s="4" t="s">
        <v>23</v>
      </c>
      <c r="D64" s="4" t="s">
        <v>40</v>
      </c>
      <c r="E64" s="4" t="s">
        <v>25</v>
      </c>
      <c r="F64" s="4" t="s">
        <v>25</v>
      </c>
      <c r="G64" s="4" t="s">
        <v>25</v>
      </c>
      <c r="H64" s="4" t="s">
        <v>25</v>
      </c>
      <c r="I64" s="5">
        <v>44440</v>
      </c>
      <c r="J64" s="6">
        <v>0</v>
      </c>
      <c r="K64" s="6">
        <v>0</v>
      </c>
      <c r="L64" s="6">
        <v>428.94200000000001</v>
      </c>
      <c r="M64" s="6">
        <v>428.94200000000001</v>
      </c>
      <c r="N64" s="6">
        <v>428.94200000000001</v>
      </c>
      <c r="O64" s="6">
        <v>428.94200000000001</v>
      </c>
      <c r="P64" s="6">
        <v>945</v>
      </c>
      <c r="Q64" s="4" t="s">
        <v>26</v>
      </c>
      <c r="R64" s="4">
        <v>0</v>
      </c>
      <c r="S64" s="4">
        <v>0</v>
      </c>
      <c r="T64" s="4">
        <v>33</v>
      </c>
      <c r="U64" s="4">
        <v>64</v>
      </c>
      <c r="V64" s="6">
        <f>IF(ISERROR(VLOOKUP($S$64,'TAR FIN'!$A$1:$O$85,15,0)),0,VLOOKUP($S$64,'TAR FIN'!$A$1:$O$85,15,0))</f>
        <v>0</v>
      </c>
      <c r="W64" s="6">
        <f>IF(ISERROR(VLOOKUP($T$64,'TAR FIN'!$A$1:$O$85,15,0)),0,VLOOKUP($T$64,'TAR FIN'!$A$1:$O$85,15,0))</f>
        <v>267.20999999999998</v>
      </c>
      <c r="X64" s="6">
        <f>IF(ISERROR(VLOOKUP($U$64,'TAR FIN'!$A$1:$O$85,15,0)),0,VLOOKUP($U$64,'TAR FIN'!$A$1:$O$85,15,0))</f>
        <v>273.24</v>
      </c>
      <c r="Y64" s="6"/>
      <c r="Z64" s="6">
        <f ca="1">('TUSD BE'!$AM$33+'TUSD BF'!$AM$33+'TUSD CVA'!$AM$33)*(1-CUSTOS!$M$38)</f>
        <v>292.68592240777247</v>
      </c>
      <c r="AA64" s="6">
        <f>('TE BE'!$AB$23+'TE BF'!$AB$23+'TE CVA'!$AB$23)*(1-CUSTOS!$M$38)</f>
        <v>208.48457914810089</v>
      </c>
      <c r="AB64" s="6">
        <f t="shared" si="4"/>
        <v>0</v>
      </c>
      <c r="AC64" s="6">
        <f>(L64-M64)*(W64+X64)+($W$2+$X$2-$W$64-$X$64)*(L64)</f>
        <v>31613.025399999995</v>
      </c>
      <c r="AD64" s="6">
        <f t="shared" si="5"/>
        <v>0</v>
      </c>
      <c r="AE64" s="6">
        <f ca="1">(L64-M64)*(Z64+AA64)+($Z$2+$AA$2-$Z$64-$AA$64)*(L64)</f>
        <v>13721.685783726383</v>
      </c>
      <c r="AF64" s="4" t="s">
        <v>570</v>
      </c>
    </row>
    <row r="65" spans="1:32" ht="11.25" customHeight="1" x14ac:dyDescent="0.3">
      <c r="A65" s="4" t="s">
        <v>41</v>
      </c>
      <c r="B65" s="4" t="s">
        <v>39</v>
      </c>
      <c r="C65" s="4" t="s">
        <v>23</v>
      </c>
      <c r="D65" s="4" t="s">
        <v>40</v>
      </c>
      <c r="E65" s="4" t="s">
        <v>25</v>
      </c>
      <c r="F65" s="4" t="s">
        <v>25</v>
      </c>
      <c r="G65" s="4" t="s">
        <v>25</v>
      </c>
      <c r="H65" s="4" t="s">
        <v>25</v>
      </c>
      <c r="I65" s="5">
        <v>44440</v>
      </c>
      <c r="J65" s="6">
        <v>0</v>
      </c>
      <c r="K65" s="6">
        <v>0</v>
      </c>
      <c r="L65" s="6">
        <v>23.366</v>
      </c>
      <c r="M65" s="6">
        <v>23.366</v>
      </c>
      <c r="N65" s="6">
        <v>23.366</v>
      </c>
      <c r="O65" s="6">
        <v>23.366</v>
      </c>
      <c r="P65" s="6">
        <v>15</v>
      </c>
      <c r="Q65" s="4" t="s">
        <v>26</v>
      </c>
      <c r="R65" s="4">
        <v>0</v>
      </c>
      <c r="S65" s="4">
        <v>0</v>
      </c>
      <c r="T65" s="4">
        <v>33</v>
      </c>
      <c r="U65" s="4">
        <v>64</v>
      </c>
      <c r="V65" s="6">
        <f>IF(ISERROR(VLOOKUP($S$65,'TAR FIN'!$A$1:$O$85,15,0)),0,VLOOKUP($S$65,'TAR FIN'!$A$1:$O$85,15,0))</f>
        <v>0</v>
      </c>
      <c r="W65" s="6">
        <f>IF(ISERROR(VLOOKUP($T$65,'TAR FIN'!$A$1:$O$85,15,0)),0,VLOOKUP($T$65,'TAR FIN'!$A$1:$O$85,15,0))</f>
        <v>267.20999999999998</v>
      </c>
      <c r="X65" s="6">
        <f>IF(ISERROR(VLOOKUP($U$65,'TAR FIN'!$A$1:$O$85,15,0)),0,VLOOKUP($U$65,'TAR FIN'!$A$1:$O$85,15,0))</f>
        <v>273.24</v>
      </c>
      <c r="Y65" s="6"/>
      <c r="Z65" s="6">
        <f ca="1">('TUSD BE'!$AM$33+'TUSD BF'!$AM$33+'TUSD CVA'!$AM$33)*(1-CUSTOS!$M$38)</f>
        <v>292.68592240777247</v>
      </c>
      <c r="AA65" s="6">
        <f>('TE BE'!$AB$23+'TE BF'!$AB$23+'TE CVA'!$AB$23)*(1-CUSTOS!$M$38)</f>
        <v>208.48457914810089</v>
      </c>
      <c r="AB65" s="6">
        <f t="shared" si="4"/>
        <v>0</v>
      </c>
      <c r="AC65" s="6">
        <f>(L65-M65)*(W65+X65)+($W$2+$X$2-$W$65-$X$65)*(L65)</f>
        <v>1722.0741999999998</v>
      </c>
      <c r="AD65" s="6">
        <f t="shared" si="5"/>
        <v>0</v>
      </c>
      <c r="AE65" s="6">
        <f ca="1">(L65-M65)*(Z65+AA65)+($Z$2+$AA$2-$Z$65-$AA$65)*(L65)</f>
        <v>747.4691450651851</v>
      </c>
      <c r="AF65" s="4" t="s">
        <v>570</v>
      </c>
    </row>
    <row r="66" spans="1:32" ht="11.25" customHeight="1" x14ac:dyDescent="0.3">
      <c r="A66" s="4" t="s">
        <v>21</v>
      </c>
      <c r="B66" s="4" t="s">
        <v>39</v>
      </c>
      <c r="C66" s="4" t="s">
        <v>23</v>
      </c>
      <c r="D66" s="4" t="s">
        <v>40</v>
      </c>
      <c r="E66" s="4" t="s">
        <v>25</v>
      </c>
      <c r="F66" s="4" t="s">
        <v>25</v>
      </c>
      <c r="G66" s="4" t="s">
        <v>25</v>
      </c>
      <c r="H66" s="4" t="s">
        <v>25</v>
      </c>
      <c r="I66" s="5">
        <v>44470</v>
      </c>
      <c r="J66" s="6">
        <v>0</v>
      </c>
      <c r="K66" s="6">
        <v>0</v>
      </c>
      <c r="L66" s="6">
        <v>443.80099999999999</v>
      </c>
      <c r="M66" s="6">
        <v>443.80099999999999</v>
      </c>
      <c r="N66" s="6">
        <v>443.80099999999999</v>
      </c>
      <c r="O66" s="6">
        <v>443.80099999999999</v>
      </c>
      <c r="P66" s="6">
        <v>949</v>
      </c>
      <c r="Q66" s="4" t="s">
        <v>26</v>
      </c>
      <c r="R66" s="4">
        <v>0</v>
      </c>
      <c r="S66" s="4">
        <v>0</v>
      </c>
      <c r="T66" s="4">
        <v>33</v>
      </c>
      <c r="U66" s="4">
        <v>64</v>
      </c>
      <c r="V66" s="6">
        <f>IF(ISERROR(VLOOKUP($S$66,'TAR FIN'!$A$1:$O$85,15,0)),0,VLOOKUP($S$66,'TAR FIN'!$A$1:$O$85,15,0))</f>
        <v>0</v>
      </c>
      <c r="W66" s="6">
        <f>IF(ISERROR(VLOOKUP($T$66,'TAR FIN'!$A$1:$O$85,15,0)),0,VLOOKUP($T$66,'TAR FIN'!$A$1:$O$85,15,0))</f>
        <v>267.20999999999998</v>
      </c>
      <c r="X66" s="6">
        <f>IF(ISERROR(VLOOKUP($U$66,'TAR FIN'!$A$1:$O$85,15,0)),0,VLOOKUP($U$66,'TAR FIN'!$A$1:$O$85,15,0))</f>
        <v>273.24</v>
      </c>
      <c r="Y66" s="6"/>
      <c r="Z66" s="6">
        <f ca="1">('TUSD BE'!$AM$33+'TUSD BF'!$AM$33+'TUSD CVA'!$AM$33)*(1-CUSTOS!$M$38)</f>
        <v>292.68592240777247</v>
      </c>
      <c r="AA66" s="6">
        <f>('TE BE'!$AB$23+'TE BF'!$AB$23+'TE CVA'!$AB$23)*(1-CUSTOS!$M$38)</f>
        <v>208.48457914810089</v>
      </c>
      <c r="AB66" s="6">
        <f t="shared" ref="AB66:AB88" si="6">(J66-K66)*V66</f>
        <v>0</v>
      </c>
      <c r="AC66" s="6">
        <f>(L66-M66)*(W66+X66)+($W$2+$X$2-$W$66-$X$66)*(L66)</f>
        <v>32708.133699999995</v>
      </c>
      <c r="AD66" s="6">
        <f t="shared" ref="AD66:AD88" si="7">(J66-K66)*Y66</f>
        <v>0</v>
      </c>
      <c r="AE66" s="6">
        <f ca="1">(L66-M66)*(Z66+AA66)+($Z$2+$AA$2-$Z$66-$AA$66)*(L66)</f>
        <v>14197.019346446727</v>
      </c>
      <c r="AF66" s="4" t="s">
        <v>570</v>
      </c>
    </row>
    <row r="67" spans="1:32" ht="11.25" customHeight="1" x14ac:dyDescent="0.3">
      <c r="A67" s="4" t="s">
        <v>51</v>
      </c>
      <c r="B67" s="4" t="s">
        <v>39</v>
      </c>
      <c r="C67" s="4" t="s">
        <v>23</v>
      </c>
      <c r="D67" s="4" t="s">
        <v>40</v>
      </c>
      <c r="E67" s="4" t="s">
        <v>25</v>
      </c>
      <c r="F67" s="4" t="s">
        <v>25</v>
      </c>
      <c r="G67" s="4" t="s">
        <v>25</v>
      </c>
      <c r="H67" s="4" t="s">
        <v>25</v>
      </c>
      <c r="I67" s="5">
        <v>44470</v>
      </c>
      <c r="J67" s="6">
        <v>0</v>
      </c>
      <c r="K67" s="6">
        <v>0</v>
      </c>
      <c r="L67" s="6">
        <v>-0.745</v>
      </c>
      <c r="M67" s="6">
        <v>-0.745</v>
      </c>
      <c r="N67" s="6">
        <v>-0.745</v>
      </c>
      <c r="O67" s="6">
        <v>-0.745</v>
      </c>
      <c r="P67" s="6">
        <v>0</v>
      </c>
      <c r="Q67" s="4" t="s">
        <v>26</v>
      </c>
      <c r="R67" s="4">
        <v>0</v>
      </c>
      <c r="S67" s="4">
        <v>0</v>
      </c>
      <c r="T67" s="4">
        <v>33</v>
      </c>
      <c r="U67" s="4">
        <v>64</v>
      </c>
      <c r="V67" s="6">
        <f>IF(ISERROR(VLOOKUP($S$67,'TAR FIN'!$A$1:$O$85,15,0)),0,VLOOKUP($S$67,'TAR FIN'!$A$1:$O$85,15,0))</f>
        <v>0</v>
      </c>
      <c r="W67" s="6">
        <f>IF(ISERROR(VLOOKUP($T$67,'TAR FIN'!$A$1:$O$85,15,0)),0,VLOOKUP($T$67,'TAR FIN'!$A$1:$O$85,15,0))</f>
        <v>267.20999999999998</v>
      </c>
      <c r="X67" s="6">
        <f>IF(ISERROR(VLOOKUP($U$67,'TAR FIN'!$A$1:$O$85,15,0)),0,VLOOKUP($U$67,'TAR FIN'!$A$1:$O$85,15,0))</f>
        <v>273.24</v>
      </c>
      <c r="Y67" s="6"/>
      <c r="Z67" s="6">
        <f ca="1">('TUSD BE'!$AM$33+'TUSD BF'!$AM$33+'TUSD CVA'!$AM$33)*(1-CUSTOS!$M$38)</f>
        <v>292.68592240777247</v>
      </c>
      <c r="AA67" s="6">
        <f>('TE BE'!$AB$23+'TE BF'!$AB$23+'TE CVA'!$AB$23)*(1-CUSTOS!$M$38)</f>
        <v>208.48457914810089</v>
      </c>
      <c r="AB67" s="6">
        <f t="shared" si="6"/>
        <v>0</v>
      </c>
      <c r="AC67" s="6">
        <f>(L67-M67)*(W67+X67)+($W$2+$X$2-$W$67-$X$67)*(L67)</f>
        <v>-54.906499999999994</v>
      </c>
      <c r="AD67" s="6">
        <f t="shared" si="7"/>
        <v>0</v>
      </c>
      <c r="AE67" s="6">
        <f ca="1">(L67-M67)*(Z67+AA67)+($Z$2+$AA$2-$Z$67-$AA$67)*(L67)</f>
        <v>-23.832256829305955</v>
      </c>
      <c r="AF67" s="4" t="s">
        <v>570</v>
      </c>
    </row>
    <row r="68" spans="1:32" ht="11.25" customHeight="1" x14ac:dyDescent="0.3">
      <c r="A68" s="4" t="s">
        <v>41</v>
      </c>
      <c r="B68" s="4" t="s">
        <v>39</v>
      </c>
      <c r="C68" s="4" t="s">
        <v>23</v>
      </c>
      <c r="D68" s="4" t="s">
        <v>40</v>
      </c>
      <c r="E68" s="4" t="s">
        <v>25</v>
      </c>
      <c r="F68" s="4" t="s">
        <v>25</v>
      </c>
      <c r="G68" s="4" t="s">
        <v>25</v>
      </c>
      <c r="H68" s="4" t="s">
        <v>25</v>
      </c>
      <c r="I68" s="5">
        <v>44470</v>
      </c>
      <c r="J68" s="6">
        <v>0</v>
      </c>
      <c r="K68" s="6">
        <v>0</v>
      </c>
      <c r="L68" s="6">
        <v>18.138999999999999</v>
      </c>
      <c r="M68" s="6">
        <v>18.138999999999999</v>
      </c>
      <c r="N68" s="6">
        <v>18.138999999999999</v>
      </c>
      <c r="O68" s="6">
        <v>18.138999999999999</v>
      </c>
      <c r="P68" s="6">
        <v>15</v>
      </c>
      <c r="Q68" s="4" t="s">
        <v>26</v>
      </c>
      <c r="R68" s="4">
        <v>0</v>
      </c>
      <c r="S68" s="4">
        <v>0</v>
      </c>
      <c r="T68" s="4">
        <v>33</v>
      </c>
      <c r="U68" s="4">
        <v>64</v>
      </c>
      <c r="V68" s="6">
        <f>IF(ISERROR(VLOOKUP($S$68,'TAR FIN'!$A$1:$O$85,15,0)),0,VLOOKUP($S$68,'TAR FIN'!$A$1:$O$85,15,0))</f>
        <v>0</v>
      </c>
      <c r="W68" s="6">
        <f>IF(ISERROR(VLOOKUP($T$68,'TAR FIN'!$A$1:$O$85,15,0)),0,VLOOKUP($T$68,'TAR FIN'!$A$1:$O$85,15,0))</f>
        <v>267.20999999999998</v>
      </c>
      <c r="X68" s="6">
        <f>IF(ISERROR(VLOOKUP($U$68,'TAR FIN'!$A$1:$O$85,15,0)),0,VLOOKUP($U$68,'TAR FIN'!$A$1:$O$85,15,0))</f>
        <v>273.24</v>
      </c>
      <c r="Y68" s="6"/>
      <c r="Z68" s="6">
        <f ca="1">('TUSD BE'!$AM$33+'TUSD BF'!$AM$33+'TUSD CVA'!$AM$33)*(1-CUSTOS!$M$38)</f>
        <v>292.68592240777247</v>
      </c>
      <c r="AA68" s="6">
        <f>('TE BE'!$AB$23+'TE BF'!$AB$23+'TE CVA'!$AB$23)*(1-CUSTOS!$M$38)</f>
        <v>208.48457914810089</v>
      </c>
      <c r="AB68" s="6">
        <f t="shared" si="6"/>
        <v>0</v>
      </c>
      <c r="AC68" s="6">
        <f>(L68-M68)*(W68+X68)+($W$2+$X$2-$W$68-$X$68)*(L68)</f>
        <v>1336.8442999999997</v>
      </c>
      <c r="AD68" s="6">
        <f t="shared" si="7"/>
        <v>0</v>
      </c>
      <c r="AE68" s="6">
        <f ca="1">(L68-M68)*(Z68+AA68)+($Z$2+$AA$2-$Z$68-$AA$68)*(L68)</f>
        <v>580.25947198225595</v>
      </c>
      <c r="AF68" s="4" t="s">
        <v>570</v>
      </c>
    </row>
    <row r="69" spans="1:32" ht="11.25" customHeight="1" x14ac:dyDescent="0.3">
      <c r="A69" s="4" t="s">
        <v>21</v>
      </c>
      <c r="B69" s="4" t="s">
        <v>39</v>
      </c>
      <c r="C69" s="4" t="s">
        <v>23</v>
      </c>
      <c r="D69" s="4" t="s">
        <v>40</v>
      </c>
      <c r="E69" s="4" t="s">
        <v>25</v>
      </c>
      <c r="F69" s="4" t="s">
        <v>25</v>
      </c>
      <c r="G69" s="4" t="s">
        <v>25</v>
      </c>
      <c r="H69" s="4" t="s">
        <v>25</v>
      </c>
      <c r="I69" s="5">
        <v>44501</v>
      </c>
      <c r="J69" s="6">
        <v>0</v>
      </c>
      <c r="K69" s="6">
        <v>0</v>
      </c>
      <c r="L69" s="6">
        <v>529.39200000000005</v>
      </c>
      <c r="M69" s="6">
        <v>529.39200000000005</v>
      </c>
      <c r="N69" s="6">
        <v>529.39200000000005</v>
      </c>
      <c r="O69" s="6">
        <v>529.39200000000005</v>
      </c>
      <c r="P69" s="6">
        <v>950</v>
      </c>
      <c r="Q69" s="4" t="s">
        <v>26</v>
      </c>
      <c r="R69" s="4">
        <v>0</v>
      </c>
      <c r="S69" s="4">
        <v>0</v>
      </c>
      <c r="T69" s="4">
        <v>33</v>
      </c>
      <c r="U69" s="4">
        <v>64</v>
      </c>
      <c r="V69" s="6">
        <f>IF(ISERROR(VLOOKUP($S$69,'TAR FIN'!$A$1:$O$85,15,0)),0,VLOOKUP($S$69,'TAR FIN'!$A$1:$O$85,15,0))</f>
        <v>0</v>
      </c>
      <c r="W69" s="6">
        <f>IF(ISERROR(VLOOKUP($T$69,'TAR FIN'!$A$1:$O$85,15,0)),0,VLOOKUP($T$69,'TAR FIN'!$A$1:$O$85,15,0))</f>
        <v>267.20999999999998</v>
      </c>
      <c r="X69" s="6">
        <f>IF(ISERROR(VLOOKUP($U$69,'TAR FIN'!$A$1:$O$85,15,0)),0,VLOOKUP($U$69,'TAR FIN'!$A$1:$O$85,15,0))</f>
        <v>273.24</v>
      </c>
      <c r="Y69" s="6"/>
      <c r="Z69" s="6">
        <f ca="1">('TUSD BE'!$AM$33+'TUSD BF'!$AM$33+'TUSD CVA'!$AM$33)*(1-CUSTOS!$M$38)</f>
        <v>292.68592240777247</v>
      </c>
      <c r="AA69" s="6">
        <f>('TE BE'!$AB$23+'TE BF'!$AB$23+'TE CVA'!$AB$23)*(1-CUSTOS!$M$38)</f>
        <v>208.48457914810089</v>
      </c>
      <c r="AB69" s="6">
        <f t="shared" si="6"/>
        <v>0</v>
      </c>
      <c r="AC69" s="6">
        <f>(L69-M69)*(W69+X69)+($W$2+$X$2-$W$69-$X$69)*(L69)</f>
        <v>39016.190399999999</v>
      </c>
      <c r="AD69" s="6">
        <f t="shared" si="7"/>
        <v>0</v>
      </c>
      <c r="AE69" s="6">
        <f ca="1">(L69-M69)*(Z69+AA69)+($Z$2+$AA$2-$Z$69-$AA$69)*(L69)</f>
        <v>16935.041754872404</v>
      </c>
      <c r="AF69" s="4" t="s">
        <v>570</v>
      </c>
    </row>
    <row r="70" spans="1:32" ht="11.25" customHeight="1" x14ac:dyDescent="0.3">
      <c r="A70" s="4" t="s">
        <v>41</v>
      </c>
      <c r="B70" s="4" t="s">
        <v>39</v>
      </c>
      <c r="C70" s="4" t="s">
        <v>23</v>
      </c>
      <c r="D70" s="4" t="s">
        <v>40</v>
      </c>
      <c r="E70" s="4" t="s">
        <v>25</v>
      </c>
      <c r="F70" s="4" t="s">
        <v>25</v>
      </c>
      <c r="G70" s="4" t="s">
        <v>25</v>
      </c>
      <c r="H70" s="4" t="s">
        <v>25</v>
      </c>
      <c r="I70" s="5">
        <v>44501</v>
      </c>
      <c r="J70" s="6">
        <v>0</v>
      </c>
      <c r="K70" s="6">
        <v>0</v>
      </c>
      <c r="L70" s="6">
        <v>25.25</v>
      </c>
      <c r="M70" s="6">
        <v>25.25</v>
      </c>
      <c r="N70" s="6">
        <v>25.25</v>
      </c>
      <c r="O70" s="6">
        <v>25.25</v>
      </c>
      <c r="P70" s="6">
        <v>16</v>
      </c>
      <c r="Q70" s="4" t="s">
        <v>26</v>
      </c>
      <c r="R70" s="4">
        <v>0</v>
      </c>
      <c r="S70" s="4">
        <v>0</v>
      </c>
      <c r="T70" s="4">
        <v>33</v>
      </c>
      <c r="U70" s="4">
        <v>64</v>
      </c>
      <c r="V70" s="6">
        <f>IF(ISERROR(VLOOKUP($S$70,'TAR FIN'!$A$1:$O$85,15,0)),0,VLOOKUP($S$70,'TAR FIN'!$A$1:$O$85,15,0))</f>
        <v>0</v>
      </c>
      <c r="W70" s="6">
        <f>IF(ISERROR(VLOOKUP($T$70,'TAR FIN'!$A$1:$O$85,15,0)),0,VLOOKUP($T$70,'TAR FIN'!$A$1:$O$85,15,0))</f>
        <v>267.20999999999998</v>
      </c>
      <c r="X70" s="6">
        <f>IF(ISERROR(VLOOKUP($U$70,'TAR FIN'!$A$1:$O$85,15,0)),0,VLOOKUP($U$70,'TAR FIN'!$A$1:$O$85,15,0))</f>
        <v>273.24</v>
      </c>
      <c r="Y70" s="6"/>
      <c r="Z70" s="6">
        <f ca="1">('TUSD BE'!$AM$33+'TUSD BF'!$AM$33+'TUSD CVA'!$AM$33)*(1-CUSTOS!$M$38)</f>
        <v>292.68592240777247</v>
      </c>
      <c r="AA70" s="6">
        <f>('TE BE'!$AB$23+'TE BF'!$AB$23+'TE CVA'!$AB$23)*(1-CUSTOS!$M$38)</f>
        <v>208.48457914810089</v>
      </c>
      <c r="AB70" s="6">
        <f t="shared" si="6"/>
        <v>0</v>
      </c>
      <c r="AC70" s="6">
        <f>(L70-M70)*(W70+X70)+($W$2+$X$2-$W$70-$X$70)*(L70)</f>
        <v>1860.9249999999997</v>
      </c>
      <c r="AD70" s="6">
        <f t="shared" si="7"/>
        <v>0</v>
      </c>
      <c r="AE70" s="6">
        <f ca="1">(L70-M70)*(Z70+AA70)+($Z$2+$AA$2-$Z$70-$AA$70)*(L70)</f>
        <v>807.73756367781925</v>
      </c>
      <c r="AF70" s="4" t="s">
        <v>570</v>
      </c>
    </row>
    <row r="71" spans="1:32" ht="11.25" customHeight="1" x14ac:dyDescent="0.3">
      <c r="A71" s="4" t="s">
        <v>21</v>
      </c>
      <c r="B71" s="4" t="s">
        <v>39</v>
      </c>
      <c r="C71" s="4" t="s">
        <v>23</v>
      </c>
      <c r="D71" s="4" t="s">
        <v>40</v>
      </c>
      <c r="E71" s="4" t="s">
        <v>25</v>
      </c>
      <c r="F71" s="4" t="s">
        <v>25</v>
      </c>
      <c r="G71" s="4" t="s">
        <v>25</v>
      </c>
      <c r="H71" s="4" t="s">
        <v>25</v>
      </c>
      <c r="I71" s="5">
        <v>44531</v>
      </c>
      <c r="J71" s="6">
        <v>0</v>
      </c>
      <c r="K71" s="6">
        <v>0</v>
      </c>
      <c r="L71" s="6">
        <v>478.95499999999998</v>
      </c>
      <c r="M71" s="6">
        <v>478.95499999999998</v>
      </c>
      <c r="N71" s="6">
        <v>478.95499999999998</v>
      </c>
      <c r="O71" s="6">
        <v>478.95499999999998</v>
      </c>
      <c r="P71" s="6">
        <v>946</v>
      </c>
      <c r="Q71" s="4" t="s">
        <v>26</v>
      </c>
      <c r="R71" s="4">
        <v>0</v>
      </c>
      <c r="S71" s="4">
        <v>0</v>
      </c>
      <c r="T71" s="4">
        <v>33</v>
      </c>
      <c r="U71" s="4">
        <v>64</v>
      </c>
      <c r="V71" s="6">
        <f>IF(ISERROR(VLOOKUP($S$71,'TAR FIN'!$A$1:$O$85,15,0)),0,VLOOKUP($S$71,'TAR FIN'!$A$1:$O$85,15,0))</f>
        <v>0</v>
      </c>
      <c r="W71" s="6">
        <f>IF(ISERROR(VLOOKUP($T$71,'TAR FIN'!$A$1:$O$85,15,0)),0,VLOOKUP($T$71,'TAR FIN'!$A$1:$O$85,15,0))</f>
        <v>267.20999999999998</v>
      </c>
      <c r="X71" s="6">
        <f>IF(ISERROR(VLOOKUP($U$71,'TAR FIN'!$A$1:$O$85,15,0)),0,VLOOKUP($U$71,'TAR FIN'!$A$1:$O$85,15,0))</f>
        <v>273.24</v>
      </c>
      <c r="Y71" s="6"/>
      <c r="Z71" s="6">
        <f ca="1">('TUSD BE'!$AM$33+'TUSD BF'!$AM$33+'TUSD CVA'!$AM$33)*(1-CUSTOS!$M$38)</f>
        <v>292.68592240777247</v>
      </c>
      <c r="AA71" s="6">
        <f>('TE BE'!$AB$23+'TE BF'!$AB$23+'TE CVA'!$AB$23)*(1-CUSTOS!$M$38)</f>
        <v>208.48457914810089</v>
      </c>
      <c r="AB71" s="6">
        <f t="shared" si="6"/>
        <v>0</v>
      </c>
      <c r="AC71" s="6">
        <f>(L71-M71)*(W71+X71)+($W$2+$X$2-$W$71-$X$71)*(L71)</f>
        <v>35298.983499999995</v>
      </c>
      <c r="AD71" s="6">
        <f t="shared" si="7"/>
        <v>0</v>
      </c>
      <c r="AE71" s="6">
        <f ca="1">(L71-M71)*(Z71+AA71)+($Z$2+$AA$2-$Z$71-$AA$71)*(L71)</f>
        <v>15321.581972725146</v>
      </c>
      <c r="AF71" s="4" t="s">
        <v>570</v>
      </c>
    </row>
    <row r="72" spans="1:32" ht="11.25" customHeight="1" x14ac:dyDescent="0.3">
      <c r="A72" s="4" t="s">
        <v>41</v>
      </c>
      <c r="B72" s="4" t="s">
        <v>39</v>
      </c>
      <c r="C72" s="4" t="s">
        <v>23</v>
      </c>
      <c r="D72" s="4" t="s">
        <v>40</v>
      </c>
      <c r="E72" s="4" t="s">
        <v>25</v>
      </c>
      <c r="F72" s="4" t="s">
        <v>25</v>
      </c>
      <c r="G72" s="4" t="s">
        <v>25</v>
      </c>
      <c r="H72" s="4" t="s">
        <v>25</v>
      </c>
      <c r="I72" s="5">
        <v>44531</v>
      </c>
      <c r="J72" s="6">
        <v>0</v>
      </c>
      <c r="K72" s="6">
        <v>0</v>
      </c>
      <c r="L72" s="6">
        <v>15.506</v>
      </c>
      <c r="M72" s="6">
        <v>15.506</v>
      </c>
      <c r="N72" s="6">
        <v>15.506</v>
      </c>
      <c r="O72" s="6">
        <v>15.506</v>
      </c>
      <c r="P72" s="6">
        <v>19</v>
      </c>
      <c r="Q72" s="4" t="s">
        <v>26</v>
      </c>
      <c r="R72" s="4">
        <v>0</v>
      </c>
      <c r="S72" s="4">
        <v>0</v>
      </c>
      <c r="T72" s="4">
        <v>33</v>
      </c>
      <c r="U72" s="4">
        <v>64</v>
      </c>
      <c r="V72" s="6">
        <f>IF(ISERROR(VLOOKUP($S$72,'TAR FIN'!$A$1:$O$85,15,0)),0,VLOOKUP($S$72,'TAR FIN'!$A$1:$O$85,15,0))</f>
        <v>0</v>
      </c>
      <c r="W72" s="6">
        <f>IF(ISERROR(VLOOKUP($T$72,'TAR FIN'!$A$1:$O$85,15,0)),0,VLOOKUP($T$72,'TAR FIN'!$A$1:$O$85,15,0))</f>
        <v>267.20999999999998</v>
      </c>
      <c r="X72" s="6">
        <f>IF(ISERROR(VLOOKUP($U$72,'TAR FIN'!$A$1:$O$85,15,0)),0,VLOOKUP($U$72,'TAR FIN'!$A$1:$O$85,15,0))</f>
        <v>273.24</v>
      </c>
      <c r="Y72" s="6"/>
      <c r="Z72" s="6">
        <f ca="1">('TUSD BE'!$AM$33+'TUSD BF'!$AM$33+'TUSD CVA'!$AM$33)*(1-CUSTOS!$M$38)</f>
        <v>292.68592240777247</v>
      </c>
      <c r="AA72" s="6">
        <f>('TE BE'!$AB$23+'TE BF'!$AB$23+'TE CVA'!$AB$23)*(1-CUSTOS!$M$38)</f>
        <v>208.48457914810089</v>
      </c>
      <c r="AB72" s="6">
        <f t="shared" si="6"/>
        <v>0</v>
      </c>
      <c r="AC72" s="6">
        <f>(L72-M72)*(W72+X72)+($W$2+$X$2-$W$72-$X$72)*(L72)</f>
        <v>1142.7921999999999</v>
      </c>
      <c r="AD72" s="6">
        <f t="shared" si="7"/>
        <v>0</v>
      </c>
      <c r="AE72" s="6">
        <f ca="1">(L72-M72)*(Z72+AA72)+($Z$2+$AA$2-$Z$72-$AA$72)*(L72)</f>
        <v>496.03083811438677</v>
      </c>
      <c r="AF72" s="4" t="s">
        <v>570</v>
      </c>
    </row>
    <row r="73" spans="1:32" ht="11.25" customHeight="1" x14ac:dyDescent="0.3">
      <c r="A73" s="4" t="s">
        <v>21</v>
      </c>
      <c r="B73" s="4" t="s">
        <v>39</v>
      </c>
      <c r="C73" s="4" t="s">
        <v>23</v>
      </c>
      <c r="D73" s="4" t="s">
        <v>40</v>
      </c>
      <c r="E73" s="4" t="s">
        <v>25</v>
      </c>
      <c r="F73" s="4" t="s">
        <v>25</v>
      </c>
      <c r="G73" s="4" t="s">
        <v>25</v>
      </c>
      <c r="H73" s="4" t="s">
        <v>25</v>
      </c>
      <c r="I73" s="5">
        <v>44562</v>
      </c>
      <c r="J73" s="6">
        <v>0</v>
      </c>
      <c r="K73" s="6">
        <v>0</v>
      </c>
      <c r="L73" s="6">
        <v>520.29399999999998</v>
      </c>
      <c r="M73" s="6">
        <v>520.29399999999998</v>
      </c>
      <c r="N73" s="6">
        <v>520.29399999999998</v>
      </c>
      <c r="O73" s="6">
        <v>520.29399999999998</v>
      </c>
      <c r="P73" s="6">
        <v>945</v>
      </c>
      <c r="Q73" s="4" t="s">
        <v>26</v>
      </c>
      <c r="R73" s="4">
        <v>0</v>
      </c>
      <c r="S73" s="4">
        <v>0</v>
      </c>
      <c r="T73" s="4">
        <v>33</v>
      </c>
      <c r="U73" s="4">
        <v>64</v>
      </c>
      <c r="V73" s="6">
        <f>IF(ISERROR(VLOOKUP($S$73,'TAR FIN'!$A$1:$O$85,15,0)),0,VLOOKUP($S$73,'TAR FIN'!$A$1:$O$85,15,0))</f>
        <v>0</v>
      </c>
      <c r="W73" s="6">
        <f>IF(ISERROR(VLOOKUP($T$73,'TAR FIN'!$A$1:$O$85,15,0)),0,VLOOKUP($T$73,'TAR FIN'!$A$1:$O$85,15,0))</f>
        <v>267.20999999999998</v>
      </c>
      <c r="X73" s="6">
        <f>IF(ISERROR(VLOOKUP($U$73,'TAR FIN'!$A$1:$O$85,15,0)),0,VLOOKUP($U$73,'TAR FIN'!$A$1:$O$85,15,0))</f>
        <v>273.24</v>
      </c>
      <c r="Y73" s="6"/>
      <c r="Z73" s="6">
        <f ca="1">('TUSD BE'!$AM$33+'TUSD BF'!$AM$33+'TUSD CVA'!$AM$33)*(1-CUSTOS!$M$38)</f>
        <v>292.68592240777247</v>
      </c>
      <c r="AA73" s="6">
        <f>('TE BE'!$AB$23+'TE BF'!$AB$23+'TE CVA'!$AB$23)*(1-CUSTOS!$M$38)</f>
        <v>208.48457914810089</v>
      </c>
      <c r="AB73" s="6">
        <f t="shared" si="6"/>
        <v>0</v>
      </c>
      <c r="AC73" s="6">
        <f>(L73-M73)*(W73+X73)+($W$2+$X$2-$W$73-$X$73)*(L73)</f>
        <v>38345.667799999996</v>
      </c>
      <c r="AD73" s="6">
        <f t="shared" si="7"/>
        <v>0</v>
      </c>
      <c r="AE73" s="6">
        <f ca="1">(L73-M73)*(Z73+AA73)+($Z$2+$AA$2-$Z$73-$AA$73)*(L73)</f>
        <v>16644.000315096528</v>
      </c>
      <c r="AF73" s="4" t="s">
        <v>570</v>
      </c>
    </row>
    <row r="74" spans="1:32" ht="11.25" customHeight="1" x14ac:dyDescent="0.3">
      <c r="A74" s="4" t="s">
        <v>41</v>
      </c>
      <c r="B74" s="4" t="s">
        <v>39</v>
      </c>
      <c r="C74" s="4" t="s">
        <v>23</v>
      </c>
      <c r="D74" s="4" t="s">
        <v>40</v>
      </c>
      <c r="E74" s="4" t="s">
        <v>25</v>
      </c>
      <c r="F74" s="4" t="s">
        <v>25</v>
      </c>
      <c r="G74" s="4" t="s">
        <v>25</v>
      </c>
      <c r="H74" s="4" t="s">
        <v>25</v>
      </c>
      <c r="I74" s="5">
        <v>44562</v>
      </c>
      <c r="J74" s="6">
        <v>0</v>
      </c>
      <c r="K74" s="6">
        <v>0</v>
      </c>
      <c r="L74" s="6">
        <v>51.01</v>
      </c>
      <c r="M74" s="6">
        <v>51.01</v>
      </c>
      <c r="N74" s="6">
        <v>51.01</v>
      </c>
      <c r="O74" s="6">
        <v>51.01</v>
      </c>
      <c r="P74" s="6">
        <v>22</v>
      </c>
      <c r="Q74" s="4" t="s">
        <v>26</v>
      </c>
      <c r="R74" s="4">
        <v>0</v>
      </c>
      <c r="S74" s="4">
        <v>0</v>
      </c>
      <c r="T74" s="4">
        <v>33</v>
      </c>
      <c r="U74" s="4">
        <v>64</v>
      </c>
      <c r="V74" s="6">
        <f>IF(ISERROR(VLOOKUP($S$74,'TAR FIN'!$A$1:$O$85,15,0)),0,VLOOKUP($S$74,'TAR FIN'!$A$1:$O$85,15,0))</f>
        <v>0</v>
      </c>
      <c r="W74" s="6">
        <f>IF(ISERROR(VLOOKUP($T$74,'TAR FIN'!$A$1:$O$85,15,0)),0,VLOOKUP($T$74,'TAR FIN'!$A$1:$O$85,15,0))</f>
        <v>267.20999999999998</v>
      </c>
      <c r="X74" s="6">
        <f>IF(ISERROR(VLOOKUP($U$74,'TAR FIN'!$A$1:$O$85,15,0)),0,VLOOKUP($U$74,'TAR FIN'!$A$1:$O$85,15,0))</f>
        <v>273.24</v>
      </c>
      <c r="Y74" s="6"/>
      <c r="Z74" s="6">
        <f ca="1">('TUSD BE'!$AM$33+'TUSD BF'!$AM$33+'TUSD CVA'!$AM$33)*(1-CUSTOS!$M$38)</f>
        <v>292.68592240777247</v>
      </c>
      <c r="AA74" s="6">
        <f>('TE BE'!$AB$23+'TE BF'!$AB$23+'TE CVA'!$AB$23)*(1-CUSTOS!$M$38)</f>
        <v>208.48457914810089</v>
      </c>
      <c r="AB74" s="6">
        <f t="shared" si="6"/>
        <v>0</v>
      </c>
      <c r="AC74" s="6">
        <f>(L74-M74)*(W74+X74)+($W$2+$X$2-$W$74-$X$74)*(L74)</f>
        <v>3759.4369999999994</v>
      </c>
      <c r="AD74" s="6">
        <f t="shared" si="7"/>
        <v>0</v>
      </c>
      <c r="AE74" s="6">
        <f ca="1">(L74-M74)*(Z74+AA74)+($Z$2+$AA$2-$Z$74-$AA$74)*(L74)</f>
        <v>1631.7898266616064</v>
      </c>
      <c r="AF74" s="4" t="s">
        <v>570</v>
      </c>
    </row>
    <row r="75" spans="1:32" ht="11.25" customHeight="1" x14ac:dyDescent="0.3">
      <c r="A75" s="4" t="s">
        <v>21</v>
      </c>
      <c r="B75" s="4" t="s">
        <v>39</v>
      </c>
      <c r="C75" s="4" t="s">
        <v>23</v>
      </c>
      <c r="D75" s="4" t="s">
        <v>40</v>
      </c>
      <c r="E75" s="4" t="s">
        <v>25</v>
      </c>
      <c r="F75" s="4" t="s">
        <v>25</v>
      </c>
      <c r="G75" s="4" t="s">
        <v>25</v>
      </c>
      <c r="H75" s="4" t="s">
        <v>25</v>
      </c>
      <c r="I75" s="5">
        <v>44593</v>
      </c>
      <c r="J75" s="6">
        <v>0</v>
      </c>
      <c r="K75" s="6">
        <v>0</v>
      </c>
      <c r="L75" s="6">
        <v>448.75400000000002</v>
      </c>
      <c r="M75" s="6">
        <v>448.75400000000002</v>
      </c>
      <c r="N75" s="6">
        <v>448.75400000000002</v>
      </c>
      <c r="O75" s="6">
        <v>448.75400000000002</v>
      </c>
      <c r="P75" s="6">
        <v>946</v>
      </c>
      <c r="Q75" s="4" t="s">
        <v>26</v>
      </c>
      <c r="R75" s="4">
        <v>0</v>
      </c>
      <c r="S75" s="4">
        <v>0</v>
      </c>
      <c r="T75" s="4">
        <v>33</v>
      </c>
      <c r="U75" s="4">
        <v>64</v>
      </c>
      <c r="V75" s="6">
        <f>IF(ISERROR(VLOOKUP($S$75,'TAR FIN'!$A$1:$O$85,15,0)),0,VLOOKUP($S$75,'TAR FIN'!$A$1:$O$85,15,0))</f>
        <v>0</v>
      </c>
      <c r="W75" s="6">
        <f>IF(ISERROR(VLOOKUP($T$75,'TAR FIN'!$A$1:$O$85,15,0)),0,VLOOKUP($T$75,'TAR FIN'!$A$1:$O$85,15,0))</f>
        <v>267.20999999999998</v>
      </c>
      <c r="X75" s="6">
        <f>IF(ISERROR(VLOOKUP($U$75,'TAR FIN'!$A$1:$O$85,15,0)),0,VLOOKUP($U$75,'TAR FIN'!$A$1:$O$85,15,0))</f>
        <v>273.24</v>
      </c>
      <c r="Y75" s="6"/>
      <c r="Z75" s="6">
        <f ca="1">('TUSD BE'!$AM$33+'TUSD BF'!$AM$33+'TUSD CVA'!$AM$33)*(1-CUSTOS!$M$38)</f>
        <v>292.68592240777247</v>
      </c>
      <c r="AA75" s="6">
        <f>('TE BE'!$AB$23+'TE BF'!$AB$23+'TE CVA'!$AB$23)*(1-CUSTOS!$M$38)</f>
        <v>208.48457914810089</v>
      </c>
      <c r="AB75" s="6">
        <f t="shared" si="6"/>
        <v>0</v>
      </c>
      <c r="AC75" s="6">
        <f>(L75-M75)*(W75+X75)+($W$2+$X$2-$W$75-$X$75)*(L75)</f>
        <v>33073.169799999996</v>
      </c>
      <c r="AD75" s="6">
        <f t="shared" si="7"/>
        <v>0</v>
      </c>
      <c r="AE75" s="6">
        <f ca="1">(L75-M75)*(Z75+AA75)+($Z$2+$AA$2-$Z$75-$AA$75)*(L75)</f>
        <v>14355.46386735351</v>
      </c>
      <c r="AF75" s="4" t="s">
        <v>570</v>
      </c>
    </row>
    <row r="76" spans="1:32" ht="11.25" customHeight="1" x14ac:dyDescent="0.3">
      <c r="A76" s="4" t="s">
        <v>41</v>
      </c>
      <c r="B76" s="4" t="s">
        <v>39</v>
      </c>
      <c r="C76" s="4" t="s">
        <v>23</v>
      </c>
      <c r="D76" s="4" t="s">
        <v>40</v>
      </c>
      <c r="E76" s="4" t="s">
        <v>25</v>
      </c>
      <c r="F76" s="4" t="s">
        <v>25</v>
      </c>
      <c r="G76" s="4" t="s">
        <v>25</v>
      </c>
      <c r="H76" s="4" t="s">
        <v>25</v>
      </c>
      <c r="I76" s="5">
        <v>44593</v>
      </c>
      <c r="J76" s="6">
        <v>0</v>
      </c>
      <c r="K76" s="6">
        <v>0</v>
      </c>
      <c r="L76" s="6">
        <v>24.344999999999999</v>
      </c>
      <c r="M76" s="6">
        <v>24.344999999999999</v>
      </c>
      <c r="N76" s="6">
        <v>24.344999999999999</v>
      </c>
      <c r="O76" s="6">
        <v>24.344999999999999</v>
      </c>
      <c r="P76" s="6">
        <v>23</v>
      </c>
      <c r="Q76" s="4" t="s">
        <v>26</v>
      </c>
      <c r="R76" s="4">
        <v>0</v>
      </c>
      <c r="S76" s="4">
        <v>0</v>
      </c>
      <c r="T76" s="4">
        <v>33</v>
      </c>
      <c r="U76" s="4">
        <v>64</v>
      </c>
      <c r="V76" s="6">
        <f>IF(ISERROR(VLOOKUP($S$76,'TAR FIN'!$A$1:$O$85,15,0)),0,VLOOKUP($S$76,'TAR FIN'!$A$1:$O$85,15,0))</f>
        <v>0</v>
      </c>
      <c r="W76" s="6">
        <f>IF(ISERROR(VLOOKUP($T$76,'TAR FIN'!$A$1:$O$85,15,0)),0,VLOOKUP($T$76,'TAR FIN'!$A$1:$O$85,15,0))</f>
        <v>267.20999999999998</v>
      </c>
      <c r="X76" s="6">
        <f>IF(ISERROR(VLOOKUP($U$76,'TAR FIN'!$A$1:$O$85,15,0)),0,VLOOKUP($U$76,'TAR FIN'!$A$1:$O$85,15,0))</f>
        <v>273.24</v>
      </c>
      <c r="Y76" s="6"/>
      <c r="Z76" s="6">
        <f ca="1">('TUSD BE'!$AM$33+'TUSD BF'!$AM$33+'TUSD CVA'!$AM$33)*(1-CUSTOS!$M$38)</f>
        <v>292.68592240777247</v>
      </c>
      <c r="AA76" s="6">
        <f>('TE BE'!$AB$23+'TE BF'!$AB$23+'TE CVA'!$AB$23)*(1-CUSTOS!$M$38)</f>
        <v>208.48457914810089</v>
      </c>
      <c r="AB76" s="6">
        <f t="shared" si="6"/>
        <v>0</v>
      </c>
      <c r="AC76" s="6">
        <f>(L76-M76)*(W76+X76)+($W$2+$X$2-$W$76-$X$76)*(L76)</f>
        <v>1794.2264999999995</v>
      </c>
      <c r="AD76" s="6">
        <f t="shared" si="7"/>
        <v>0</v>
      </c>
      <c r="AE76" s="6">
        <f ca="1">(L76-M76)*(Z76+AA76)+($Z$2+$AA$2-$Z$76-$AA$76)*(L76)</f>
        <v>778.78696981134692</v>
      </c>
      <c r="AF76" s="4" t="s">
        <v>570</v>
      </c>
    </row>
    <row r="77" spans="1:32" ht="11.25" customHeight="1" x14ac:dyDescent="0.3">
      <c r="A77" s="4" t="s">
        <v>21</v>
      </c>
      <c r="B77" s="4" t="s">
        <v>39</v>
      </c>
      <c r="C77" s="4" t="s">
        <v>23</v>
      </c>
      <c r="D77" s="4" t="s">
        <v>40</v>
      </c>
      <c r="E77" s="4" t="s">
        <v>25</v>
      </c>
      <c r="F77" s="4" t="s">
        <v>25</v>
      </c>
      <c r="G77" s="4" t="s">
        <v>25</v>
      </c>
      <c r="H77" s="4" t="s">
        <v>25</v>
      </c>
      <c r="I77" s="5">
        <v>44621</v>
      </c>
      <c r="J77" s="6">
        <v>0</v>
      </c>
      <c r="K77" s="6">
        <v>0</v>
      </c>
      <c r="L77" s="6">
        <v>441.31900000000002</v>
      </c>
      <c r="M77" s="6">
        <v>441.31900000000002</v>
      </c>
      <c r="N77" s="6">
        <v>441.31900000000002</v>
      </c>
      <c r="O77" s="6">
        <v>441.31900000000002</v>
      </c>
      <c r="P77" s="6">
        <v>950</v>
      </c>
      <c r="Q77" s="4" t="s">
        <v>26</v>
      </c>
      <c r="R77" s="4">
        <v>0</v>
      </c>
      <c r="S77" s="4">
        <v>0</v>
      </c>
      <c r="T77" s="4">
        <v>33</v>
      </c>
      <c r="U77" s="4">
        <v>64</v>
      </c>
      <c r="V77" s="6">
        <f>IF(ISERROR(VLOOKUP($S$77,'TAR FIN'!$A$1:$O$85,15,0)),0,VLOOKUP($S$77,'TAR FIN'!$A$1:$O$85,15,0))</f>
        <v>0</v>
      </c>
      <c r="W77" s="6">
        <f>IF(ISERROR(VLOOKUP($T$77,'TAR FIN'!$A$1:$O$85,15,0)),0,VLOOKUP($T$77,'TAR FIN'!$A$1:$O$85,15,0))</f>
        <v>267.20999999999998</v>
      </c>
      <c r="X77" s="6">
        <f>IF(ISERROR(VLOOKUP($U$77,'TAR FIN'!$A$1:$O$85,15,0)),0,VLOOKUP($U$77,'TAR FIN'!$A$1:$O$85,15,0))</f>
        <v>273.24</v>
      </c>
      <c r="Y77" s="6"/>
      <c r="Z77" s="6">
        <f ca="1">('TUSD BE'!$AM$33+'TUSD BF'!$AM$33+'TUSD CVA'!$AM$33)*(1-CUSTOS!$M$38)</f>
        <v>292.68592240777247</v>
      </c>
      <c r="AA77" s="6">
        <f>('TE BE'!$AB$23+'TE BF'!$AB$23+'TE CVA'!$AB$23)*(1-CUSTOS!$M$38)</f>
        <v>208.48457914810089</v>
      </c>
      <c r="AB77" s="6">
        <f t="shared" si="6"/>
        <v>0</v>
      </c>
      <c r="AC77" s="6">
        <f>(L77-M77)*(W77+X77)+($W$2+$X$2-$W$77-$X$77)*(L77)</f>
        <v>32525.210299999995</v>
      </c>
      <c r="AD77" s="6">
        <f t="shared" si="7"/>
        <v>0</v>
      </c>
      <c r="AE77" s="6">
        <f ca="1">(L77-M77)*(Z77+AA77)+($Z$2+$AA$2-$Z$77-$AA$77)*(L77)</f>
        <v>14117.621143157685</v>
      </c>
      <c r="AF77" s="4" t="s">
        <v>570</v>
      </c>
    </row>
    <row r="78" spans="1:32" ht="11.25" customHeight="1" x14ac:dyDescent="0.3">
      <c r="A78" s="4" t="s">
        <v>41</v>
      </c>
      <c r="B78" s="4" t="s">
        <v>39</v>
      </c>
      <c r="C78" s="4" t="s">
        <v>23</v>
      </c>
      <c r="D78" s="4" t="s">
        <v>40</v>
      </c>
      <c r="E78" s="4" t="s">
        <v>25</v>
      </c>
      <c r="F78" s="4" t="s">
        <v>25</v>
      </c>
      <c r="G78" s="4" t="s">
        <v>25</v>
      </c>
      <c r="H78" s="4" t="s">
        <v>25</v>
      </c>
      <c r="I78" s="5">
        <v>44621</v>
      </c>
      <c r="J78" s="6">
        <v>0</v>
      </c>
      <c r="K78" s="6">
        <v>0</v>
      </c>
      <c r="L78" s="6">
        <v>39.655999999999999</v>
      </c>
      <c r="M78" s="6">
        <v>39.655999999999999</v>
      </c>
      <c r="N78" s="6">
        <v>39.655999999999999</v>
      </c>
      <c r="O78" s="6">
        <v>39.655999999999999</v>
      </c>
      <c r="P78" s="6">
        <v>23</v>
      </c>
      <c r="Q78" s="4" t="s">
        <v>26</v>
      </c>
      <c r="R78" s="4">
        <v>0</v>
      </c>
      <c r="S78" s="4">
        <v>0</v>
      </c>
      <c r="T78" s="4">
        <v>33</v>
      </c>
      <c r="U78" s="4">
        <v>64</v>
      </c>
      <c r="V78" s="6">
        <f>IF(ISERROR(VLOOKUP($S$78,'TAR FIN'!$A$1:$O$85,15,0)),0,VLOOKUP($S$78,'TAR FIN'!$A$1:$O$85,15,0))</f>
        <v>0</v>
      </c>
      <c r="W78" s="6">
        <f>IF(ISERROR(VLOOKUP($T$78,'TAR FIN'!$A$1:$O$85,15,0)),0,VLOOKUP($T$78,'TAR FIN'!$A$1:$O$85,15,0))</f>
        <v>267.20999999999998</v>
      </c>
      <c r="X78" s="6">
        <f>IF(ISERROR(VLOOKUP($U$78,'TAR FIN'!$A$1:$O$85,15,0)),0,VLOOKUP($U$78,'TAR FIN'!$A$1:$O$85,15,0))</f>
        <v>273.24</v>
      </c>
      <c r="Y78" s="6"/>
      <c r="Z78" s="6">
        <f ca="1">('TUSD BE'!$AM$33+'TUSD BF'!$AM$33+'TUSD CVA'!$AM$33)*(1-CUSTOS!$M$38)</f>
        <v>292.68592240777247</v>
      </c>
      <c r="AA78" s="6">
        <f>('TE BE'!$AB$23+'TE BF'!$AB$23+'TE CVA'!$AB$23)*(1-CUSTOS!$M$38)</f>
        <v>208.48457914810089</v>
      </c>
      <c r="AB78" s="6">
        <f t="shared" si="6"/>
        <v>0</v>
      </c>
      <c r="AC78" s="6">
        <f>(L78-M78)*(W78+X78)+($W$2+$X$2-$W$78-$X$78)*(L78)</f>
        <v>2922.6471999999994</v>
      </c>
      <c r="AD78" s="6">
        <f t="shared" si="7"/>
        <v>0</v>
      </c>
      <c r="AE78" s="6">
        <f ca="1">(L78-M78)*(Z78+AA78)+($Z$2+$AA$2-$Z$78-$AA$78)*(L78)</f>
        <v>1268.5798346616871</v>
      </c>
      <c r="AF78" s="4" t="s">
        <v>570</v>
      </c>
    </row>
    <row r="79" spans="1:32" ht="11.25" customHeight="1" x14ac:dyDescent="0.3">
      <c r="A79" s="4" t="s">
        <v>21</v>
      </c>
      <c r="B79" s="4" t="s">
        <v>39</v>
      </c>
      <c r="C79" s="4" t="s">
        <v>23</v>
      </c>
      <c r="D79" s="4" t="s">
        <v>40</v>
      </c>
      <c r="E79" s="4" t="s">
        <v>25</v>
      </c>
      <c r="F79" s="4" t="s">
        <v>25</v>
      </c>
      <c r="G79" s="4" t="s">
        <v>25</v>
      </c>
      <c r="H79" s="4" t="s">
        <v>25</v>
      </c>
      <c r="I79" s="5">
        <v>44652</v>
      </c>
      <c r="J79" s="6">
        <v>0</v>
      </c>
      <c r="K79" s="6">
        <v>0</v>
      </c>
      <c r="L79" s="6">
        <v>404.09800000000001</v>
      </c>
      <c r="M79" s="6">
        <v>404.09800000000001</v>
      </c>
      <c r="N79" s="6">
        <v>404.09800000000001</v>
      </c>
      <c r="O79" s="6">
        <v>404.09800000000001</v>
      </c>
      <c r="P79" s="6">
        <v>950</v>
      </c>
      <c r="Q79" s="4" t="s">
        <v>26</v>
      </c>
      <c r="R79" s="4">
        <v>0</v>
      </c>
      <c r="S79" s="4">
        <v>0</v>
      </c>
      <c r="T79" s="4">
        <v>33</v>
      </c>
      <c r="U79" s="4">
        <v>64</v>
      </c>
      <c r="V79" s="6">
        <f>IF(ISERROR(VLOOKUP($S$79,'TAR FIN'!$A$1:$O$85,15,0)),0,VLOOKUP($S$79,'TAR FIN'!$A$1:$O$85,15,0))</f>
        <v>0</v>
      </c>
      <c r="W79" s="6">
        <f>IF(ISERROR(VLOOKUP($T$79,'TAR FIN'!$A$1:$O$85,15,0)),0,VLOOKUP($T$79,'TAR FIN'!$A$1:$O$85,15,0))</f>
        <v>267.20999999999998</v>
      </c>
      <c r="X79" s="6">
        <f>IF(ISERROR(VLOOKUP($U$79,'TAR FIN'!$A$1:$O$85,15,0)),0,VLOOKUP($U$79,'TAR FIN'!$A$1:$O$85,15,0))</f>
        <v>273.24</v>
      </c>
      <c r="Y79" s="6"/>
      <c r="Z79" s="6">
        <f ca="1">('TUSD BE'!$AM$33+'TUSD BF'!$AM$33+'TUSD CVA'!$AM$33)*(1-CUSTOS!$M$38)</f>
        <v>292.68592240777247</v>
      </c>
      <c r="AA79" s="6">
        <f>('TE BE'!$AB$23+'TE BF'!$AB$23+'TE CVA'!$AB$23)*(1-CUSTOS!$M$38)</f>
        <v>208.48457914810089</v>
      </c>
      <c r="AB79" s="6">
        <f t="shared" si="6"/>
        <v>0</v>
      </c>
      <c r="AC79" s="6">
        <f>(L79-M79)*(W79+X79)+($W$2+$X$2-$W$79-$X$79)*(L79)</f>
        <v>29782.022599999997</v>
      </c>
      <c r="AD79" s="6">
        <f t="shared" si="7"/>
        <v>0</v>
      </c>
      <c r="AE79" s="6">
        <f ca="1">(L79-M79)*(Z79+AA79)+($Z$2+$AA$2-$Z$79-$AA$79)*(L79)</f>
        <v>12926.936000280373</v>
      </c>
      <c r="AF79" s="4" t="s">
        <v>570</v>
      </c>
    </row>
    <row r="80" spans="1:32" ht="11.25" customHeight="1" x14ac:dyDescent="0.3">
      <c r="A80" s="4" t="s">
        <v>41</v>
      </c>
      <c r="B80" s="4" t="s">
        <v>39</v>
      </c>
      <c r="C80" s="4" t="s">
        <v>23</v>
      </c>
      <c r="D80" s="4" t="s">
        <v>40</v>
      </c>
      <c r="E80" s="4" t="s">
        <v>25</v>
      </c>
      <c r="F80" s="4" t="s">
        <v>25</v>
      </c>
      <c r="G80" s="4" t="s">
        <v>25</v>
      </c>
      <c r="H80" s="4" t="s">
        <v>25</v>
      </c>
      <c r="I80" s="5">
        <v>44652</v>
      </c>
      <c r="J80" s="6">
        <v>0</v>
      </c>
      <c r="K80" s="6">
        <v>0</v>
      </c>
      <c r="L80" s="6">
        <v>39.155999999999999</v>
      </c>
      <c r="M80" s="6">
        <v>39.155999999999999</v>
      </c>
      <c r="N80" s="6">
        <v>39.155999999999999</v>
      </c>
      <c r="O80" s="6">
        <v>39.155999999999999</v>
      </c>
      <c r="P80" s="6">
        <v>23</v>
      </c>
      <c r="Q80" s="4" t="s">
        <v>26</v>
      </c>
      <c r="R80" s="4">
        <v>0</v>
      </c>
      <c r="S80" s="4">
        <v>0</v>
      </c>
      <c r="T80" s="4">
        <v>33</v>
      </c>
      <c r="U80" s="4">
        <v>64</v>
      </c>
      <c r="V80" s="6">
        <f>IF(ISERROR(VLOOKUP($S$80,'TAR FIN'!$A$1:$O$85,15,0)),0,VLOOKUP($S$80,'TAR FIN'!$A$1:$O$85,15,0))</f>
        <v>0</v>
      </c>
      <c r="W80" s="6">
        <f>IF(ISERROR(VLOOKUP($T$80,'TAR FIN'!$A$1:$O$85,15,0)),0,VLOOKUP($T$80,'TAR FIN'!$A$1:$O$85,15,0))</f>
        <v>267.20999999999998</v>
      </c>
      <c r="X80" s="6">
        <f>IF(ISERROR(VLOOKUP($U$80,'TAR FIN'!$A$1:$O$85,15,0)),0,VLOOKUP($U$80,'TAR FIN'!$A$1:$O$85,15,0))</f>
        <v>273.24</v>
      </c>
      <c r="Y80" s="6"/>
      <c r="Z80" s="6">
        <f ca="1">('TUSD BE'!$AM$33+'TUSD BF'!$AM$33+'TUSD CVA'!$AM$33)*(1-CUSTOS!$M$38)</f>
        <v>292.68592240777247</v>
      </c>
      <c r="AA80" s="6">
        <f>('TE BE'!$AB$23+'TE BF'!$AB$23+'TE CVA'!$AB$23)*(1-CUSTOS!$M$38)</f>
        <v>208.48457914810089</v>
      </c>
      <c r="AB80" s="6">
        <f t="shared" si="6"/>
        <v>0</v>
      </c>
      <c r="AC80" s="6">
        <f>(L80-M80)*(W80+X80)+($W$2+$X$2-$W$80-$X$80)*(L80)</f>
        <v>2885.7971999999995</v>
      </c>
      <c r="AD80" s="6">
        <f t="shared" si="7"/>
        <v>0</v>
      </c>
      <c r="AE80" s="6">
        <f ca="1">(L80-M80)*(Z80+AA80)+($Z$2+$AA$2-$Z$80-$AA$80)*(L80)</f>
        <v>1252.5850314205422</v>
      </c>
      <c r="AF80" s="4" t="s">
        <v>570</v>
      </c>
    </row>
    <row r="81" spans="1:32" ht="11.25" customHeight="1" x14ac:dyDescent="0.3">
      <c r="A81" s="4" t="s">
        <v>21</v>
      </c>
      <c r="B81" s="4" t="s">
        <v>39</v>
      </c>
      <c r="C81" s="4" t="s">
        <v>23</v>
      </c>
      <c r="D81" s="4" t="s">
        <v>40</v>
      </c>
      <c r="E81" s="4" t="s">
        <v>25</v>
      </c>
      <c r="F81" s="4" t="s">
        <v>25</v>
      </c>
      <c r="G81" s="4" t="s">
        <v>25</v>
      </c>
      <c r="H81" s="4" t="s">
        <v>25</v>
      </c>
      <c r="I81" s="5">
        <v>44682</v>
      </c>
      <c r="J81" s="6">
        <v>0</v>
      </c>
      <c r="K81" s="6">
        <v>0</v>
      </c>
      <c r="L81" s="6">
        <v>409.298</v>
      </c>
      <c r="M81" s="6">
        <v>409.298</v>
      </c>
      <c r="N81" s="6">
        <v>409.298</v>
      </c>
      <c r="O81" s="6">
        <v>409.298</v>
      </c>
      <c r="P81" s="6">
        <v>947</v>
      </c>
      <c r="Q81" s="4" t="s">
        <v>26</v>
      </c>
      <c r="R81" s="4">
        <v>0</v>
      </c>
      <c r="S81" s="4">
        <v>0</v>
      </c>
      <c r="T81" s="4">
        <v>33</v>
      </c>
      <c r="U81" s="4">
        <v>64</v>
      </c>
      <c r="V81" s="6">
        <f>IF(ISERROR(VLOOKUP($S$81,'TAR FIN'!$A$1:$O$85,15,0)),0,VLOOKUP($S$81,'TAR FIN'!$A$1:$O$85,15,0))</f>
        <v>0</v>
      </c>
      <c r="W81" s="6">
        <f>IF(ISERROR(VLOOKUP($T$81,'TAR FIN'!$A$1:$O$85,15,0)),0,VLOOKUP($T$81,'TAR FIN'!$A$1:$O$85,15,0))</f>
        <v>267.20999999999998</v>
      </c>
      <c r="X81" s="6">
        <f>IF(ISERROR(VLOOKUP($U$81,'TAR FIN'!$A$1:$O$85,15,0)),0,VLOOKUP($U$81,'TAR FIN'!$A$1:$O$85,15,0))</f>
        <v>273.24</v>
      </c>
      <c r="Y81" s="6"/>
      <c r="Z81" s="6">
        <f ca="1">('TUSD BE'!$AM$33+'TUSD BF'!$AM$33+'TUSD CVA'!$AM$33)*(1-CUSTOS!$M$38)</f>
        <v>292.68592240777247</v>
      </c>
      <c r="AA81" s="6">
        <f>('TE BE'!$AB$23+'TE BF'!$AB$23+'TE CVA'!$AB$23)*(1-CUSTOS!$M$38)</f>
        <v>208.48457914810089</v>
      </c>
      <c r="AB81" s="6">
        <f t="shared" si="6"/>
        <v>0</v>
      </c>
      <c r="AC81" s="6">
        <f>(L81-M81)*(W81+X81)+($W$2+$X$2-$W$81-$X$81)*(L81)</f>
        <v>30165.262599999995</v>
      </c>
      <c r="AD81" s="6">
        <f t="shared" si="7"/>
        <v>0</v>
      </c>
      <c r="AE81" s="6">
        <f ca="1">(L81-M81)*(Z81+AA81)+($Z$2+$AA$2-$Z$81-$AA$81)*(L81)</f>
        <v>13093.28195398828</v>
      </c>
      <c r="AF81" s="4" t="s">
        <v>570</v>
      </c>
    </row>
    <row r="82" spans="1:32" ht="11.25" customHeight="1" x14ac:dyDescent="0.3">
      <c r="A82" s="4" t="s">
        <v>41</v>
      </c>
      <c r="B82" s="4" t="s">
        <v>39</v>
      </c>
      <c r="C82" s="4" t="s">
        <v>23</v>
      </c>
      <c r="D82" s="4" t="s">
        <v>40</v>
      </c>
      <c r="E82" s="4" t="s">
        <v>25</v>
      </c>
      <c r="F82" s="4" t="s">
        <v>25</v>
      </c>
      <c r="G82" s="4" t="s">
        <v>25</v>
      </c>
      <c r="H82" s="4" t="s">
        <v>25</v>
      </c>
      <c r="I82" s="5">
        <v>44682</v>
      </c>
      <c r="J82" s="6">
        <v>0</v>
      </c>
      <c r="K82" s="6">
        <v>0</v>
      </c>
      <c r="L82" s="6">
        <v>45.146999999999998</v>
      </c>
      <c r="M82" s="6">
        <v>45.146999999999998</v>
      </c>
      <c r="N82" s="6">
        <v>45.146999999999998</v>
      </c>
      <c r="O82" s="6">
        <v>45.146999999999998</v>
      </c>
      <c r="P82" s="6">
        <v>25</v>
      </c>
      <c r="Q82" s="4" t="s">
        <v>26</v>
      </c>
      <c r="R82" s="4">
        <v>0</v>
      </c>
      <c r="S82" s="4">
        <v>0</v>
      </c>
      <c r="T82" s="4">
        <v>33</v>
      </c>
      <c r="U82" s="4">
        <v>64</v>
      </c>
      <c r="V82" s="6">
        <f>IF(ISERROR(VLOOKUP($S$82,'TAR FIN'!$A$1:$O$85,15,0)),0,VLOOKUP($S$82,'TAR FIN'!$A$1:$O$85,15,0))</f>
        <v>0</v>
      </c>
      <c r="W82" s="6">
        <f>IF(ISERROR(VLOOKUP($T$82,'TAR FIN'!$A$1:$O$85,15,0)),0,VLOOKUP($T$82,'TAR FIN'!$A$1:$O$85,15,0))</f>
        <v>267.20999999999998</v>
      </c>
      <c r="X82" s="6">
        <f>IF(ISERROR(VLOOKUP($U$82,'TAR FIN'!$A$1:$O$85,15,0)),0,VLOOKUP($U$82,'TAR FIN'!$A$1:$O$85,15,0))</f>
        <v>273.24</v>
      </c>
      <c r="Y82" s="6"/>
      <c r="Z82" s="6">
        <f ca="1">('TUSD BE'!$AM$33+'TUSD BF'!$AM$33+'TUSD CVA'!$AM$33)*(1-CUSTOS!$M$38)</f>
        <v>292.68592240777247</v>
      </c>
      <c r="AA82" s="6">
        <f>('TE BE'!$AB$23+'TE BF'!$AB$23+'TE CVA'!$AB$23)*(1-CUSTOS!$M$38)</f>
        <v>208.48457914810089</v>
      </c>
      <c r="AB82" s="6">
        <f t="shared" si="6"/>
        <v>0</v>
      </c>
      <c r="AC82" s="6">
        <f>(L82-M82)*(W82+X82)+($W$2+$X$2-$W$82-$X$82)*(L82)</f>
        <v>3327.3338999999992</v>
      </c>
      <c r="AD82" s="6">
        <f t="shared" si="7"/>
        <v>0</v>
      </c>
      <c r="AE82" s="6">
        <f ca="1">(L82-M82)*(Z82+AA82)+($Z$2+$AA$2-$Z$82-$AA$82)*(L82)</f>
        <v>1444.2347638559409</v>
      </c>
      <c r="AF82" s="4" t="s">
        <v>570</v>
      </c>
    </row>
    <row r="83" spans="1:32" ht="11.25" customHeight="1" x14ac:dyDescent="0.3">
      <c r="A83" s="4" t="s">
        <v>21</v>
      </c>
      <c r="B83" s="4" t="s">
        <v>39</v>
      </c>
      <c r="C83" s="4" t="s">
        <v>23</v>
      </c>
      <c r="D83" s="4" t="s">
        <v>40</v>
      </c>
      <c r="E83" s="4" t="s">
        <v>25</v>
      </c>
      <c r="F83" s="4" t="s">
        <v>25</v>
      </c>
      <c r="G83" s="4" t="s">
        <v>25</v>
      </c>
      <c r="H83" s="4" t="s">
        <v>25</v>
      </c>
      <c r="I83" s="5">
        <v>44713</v>
      </c>
      <c r="J83" s="6">
        <v>0</v>
      </c>
      <c r="K83" s="6">
        <v>0</v>
      </c>
      <c r="L83" s="6">
        <v>386.99599999999998</v>
      </c>
      <c r="M83" s="6">
        <v>386.99599999999998</v>
      </c>
      <c r="N83" s="6">
        <v>386.99599999999998</v>
      </c>
      <c r="O83" s="6">
        <v>386.99599999999998</v>
      </c>
      <c r="P83" s="6">
        <v>946</v>
      </c>
      <c r="Q83" s="4" t="s">
        <v>26</v>
      </c>
      <c r="R83" s="4">
        <v>0</v>
      </c>
      <c r="S83" s="4">
        <v>0</v>
      </c>
      <c r="T83" s="4">
        <v>33</v>
      </c>
      <c r="U83" s="4">
        <v>64</v>
      </c>
      <c r="V83" s="6">
        <f>IF(ISERROR(VLOOKUP($S$83,'TAR FIN'!$A$1:$O$85,15,0)),0,VLOOKUP($S$83,'TAR FIN'!$A$1:$O$85,15,0))</f>
        <v>0</v>
      </c>
      <c r="W83" s="6">
        <f>IF(ISERROR(VLOOKUP($T$83,'TAR FIN'!$A$1:$O$85,15,0)),0,VLOOKUP($T$83,'TAR FIN'!$A$1:$O$85,15,0))</f>
        <v>267.20999999999998</v>
      </c>
      <c r="X83" s="6">
        <f>IF(ISERROR(VLOOKUP($U$83,'TAR FIN'!$A$1:$O$85,15,0)),0,VLOOKUP($U$83,'TAR FIN'!$A$1:$O$85,15,0))</f>
        <v>273.24</v>
      </c>
      <c r="Y83" s="6"/>
      <c r="Z83" s="6">
        <f ca="1">('TUSD BE'!$AM$33+'TUSD BF'!$AM$33+'TUSD CVA'!$AM$33)*(1-CUSTOS!$M$38)</f>
        <v>292.68592240777247</v>
      </c>
      <c r="AA83" s="6">
        <f>('TE BE'!$AB$23+'TE BF'!$AB$23+'TE CVA'!$AB$23)*(1-CUSTOS!$M$38)</f>
        <v>208.48457914810089</v>
      </c>
      <c r="AB83" s="6">
        <f t="shared" si="6"/>
        <v>0</v>
      </c>
      <c r="AC83" s="6">
        <f>(L83-M83)*(W83+X83)+($W$2+$X$2-$W$83-$X$83)*(L83)</f>
        <v>28521.605199999995</v>
      </c>
      <c r="AD83" s="6">
        <f t="shared" si="7"/>
        <v>0</v>
      </c>
      <c r="AE83" s="6">
        <f ca="1">(L83-M83)*(Z83+AA83)+($Z$2+$AA$2-$Z$83-$AA$83)*(L83)</f>
        <v>12379.84975022025</v>
      </c>
      <c r="AF83" s="4" t="s">
        <v>570</v>
      </c>
    </row>
    <row r="84" spans="1:32" ht="11.25" customHeight="1" x14ac:dyDescent="0.3">
      <c r="A84" s="4" t="s">
        <v>41</v>
      </c>
      <c r="B84" s="4" t="s">
        <v>39</v>
      </c>
      <c r="C84" s="4" t="s">
        <v>23</v>
      </c>
      <c r="D84" s="4" t="s">
        <v>40</v>
      </c>
      <c r="E84" s="4" t="s">
        <v>25</v>
      </c>
      <c r="F84" s="4" t="s">
        <v>25</v>
      </c>
      <c r="G84" s="4" t="s">
        <v>25</v>
      </c>
      <c r="H84" s="4" t="s">
        <v>25</v>
      </c>
      <c r="I84" s="5">
        <v>44713</v>
      </c>
      <c r="J84" s="6">
        <v>0</v>
      </c>
      <c r="K84" s="6">
        <v>0</v>
      </c>
      <c r="L84" s="6">
        <v>49.85</v>
      </c>
      <c r="M84" s="6">
        <v>49.85</v>
      </c>
      <c r="N84" s="6">
        <v>49.85</v>
      </c>
      <c r="O84" s="6">
        <v>49.85</v>
      </c>
      <c r="P84" s="6">
        <v>27</v>
      </c>
      <c r="Q84" s="4" t="s">
        <v>26</v>
      </c>
      <c r="R84" s="4">
        <v>0</v>
      </c>
      <c r="S84" s="4">
        <v>0</v>
      </c>
      <c r="T84" s="4">
        <v>33</v>
      </c>
      <c r="U84" s="4">
        <v>64</v>
      </c>
      <c r="V84" s="6">
        <f>IF(ISERROR(VLOOKUP($S$84,'TAR FIN'!$A$1:$O$85,15,0)),0,VLOOKUP($S$84,'TAR FIN'!$A$1:$O$85,15,0))</f>
        <v>0</v>
      </c>
      <c r="W84" s="6">
        <f>IF(ISERROR(VLOOKUP($T$84,'TAR FIN'!$A$1:$O$85,15,0)),0,VLOOKUP($T$84,'TAR FIN'!$A$1:$O$85,15,0))</f>
        <v>267.20999999999998</v>
      </c>
      <c r="X84" s="6">
        <f>IF(ISERROR(VLOOKUP($U$84,'TAR FIN'!$A$1:$O$85,15,0)),0,VLOOKUP($U$84,'TAR FIN'!$A$1:$O$85,15,0))</f>
        <v>273.24</v>
      </c>
      <c r="Y84" s="6"/>
      <c r="Z84" s="6">
        <f ca="1">('TUSD BE'!$AM$33+'TUSD BF'!$AM$33+'TUSD CVA'!$AM$33)*(1-CUSTOS!$M$38)</f>
        <v>292.68592240777247</v>
      </c>
      <c r="AA84" s="6">
        <f>('TE BE'!$AB$23+'TE BF'!$AB$23+'TE CVA'!$AB$23)*(1-CUSTOS!$M$38)</f>
        <v>208.48457914810089</v>
      </c>
      <c r="AB84" s="6">
        <f t="shared" si="6"/>
        <v>0</v>
      </c>
      <c r="AC84" s="6">
        <f>(L84-M84)*(W84+X84)+($W$2+$X$2-$W$84-$X$84)*(L84)</f>
        <v>3673.9449999999997</v>
      </c>
      <c r="AD84" s="6">
        <f t="shared" si="7"/>
        <v>0</v>
      </c>
      <c r="AE84" s="6">
        <f ca="1">(L84-M84)*(Z84+AA84)+($Z$2+$AA$2-$Z$84-$AA$84)*(L84)</f>
        <v>1594.6818831421501</v>
      </c>
      <c r="AF84" s="4" t="s">
        <v>570</v>
      </c>
    </row>
    <row r="85" spans="1:32" ht="11.25" customHeight="1" x14ac:dyDescent="0.3">
      <c r="A85" s="4" t="s">
        <v>21</v>
      </c>
      <c r="B85" s="4" t="s">
        <v>39</v>
      </c>
      <c r="C85" s="4" t="s">
        <v>23</v>
      </c>
      <c r="D85" s="4" t="s">
        <v>40</v>
      </c>
      <c r="E85" s="4" t="s">
        <v>25</v>
      </c>
      <c r="F85" s="4" t="s">
        <v>25</v>
      </c>
      <c r="G85" s="4" t="s">
        <v>25</v>
      </c>
      <c r="H85" s="4" t="s">
        <v>25</v>
      </c>
      <c r="I85" s="5">
        <v>44743</v>
      </c>
      <c r="J85" s="6">
        <v>0</v>
      </c>
      <c r="K85" s="6">
        <v>0</v>
      </c>
      <c r="L85" s="6">
        <v>380.39699999999999</v>
      </c>
      <c r="M85" s="6">
        <v>380.39699999999999</v>
      </c>
      <c r="N85" s="6">
        <v>380.39699999999999</v>
      </c>
      <c r="O85" s="6">
        <v>380.39699999999999</v>
      </c>
      <c r="P85" s="6">
        <v>939</v>
      </c>
      <c r="Q85" s="4" t="s">
        <v>26</v>
      </c>
      <c r="R85" s="4">
        <v>0</v>
      </c>
      <c r="S85" s="4">
        <v>0</v>
      </c>
      <c r="T85" s="4">
        <v>33</v>
      </c>
      <c r="U85" s="4">
        <v>64</v>
      </c>
      <c r="V85" s="6">
        <f>IF(ISERROR(VLOOKUP($S$85,'TAR FIN'!$A$1:$O$85,15,0)),0,VLOOKUP($S$85,'TAR FIN'!$A$1:$O$85,15,0))</f>
        <v>0</v>
      </c>
      <c r="W85" s="6">
        <f>IF(ISERROR(VLOOKUP($T$85,'TAR FIN'!$A$1:$O$85,15,0)),0,VLOOKUP($T$85,'TAR FIN'!$A$1:$O$85,15,0))</f>
        <v>267.20999999999998</v>
      </c>
      <c r="X85" s="6">
        <f>IF(ISERROR(VLOOKUP($U$85,'TAR FIN'!$A$1:$O$85,15,0)),0,VLOOKUP($U$85,'TAR FIN'!$A$1:$O$85,15,0))</f>
        <v>273.24</v>
      </c>
      <c r="Y85" s="6"/>
      <c r="Z85" s="6">
        <f ca="1">('TUSD BE'!$AM$33+'TUSD BF'!$AM$33+'TUSD CVA'!$AM$33)*(1-CUSTOS!$M$38)</f>
        <v>292.68592240777247</v>
      </c>
      <c r="AA85" s="6">
        <f>('TE BE'!$AB$23+'TE BF'!$AB$23+'TE CVA'!$AB$23)*(1-CUSTOS!$M$38)</f>
        <v>208.48457914810089</v>
      </c>
      <c r="AB85" s="6">
        <f t="shared" si="6"/>
        <v>0</v>
      </c>
      <c r="AC85" s="6">
        <f>(L85-M85)*(W85+X85)+($W$2+$X$2-$W$85-$X$85)*(L85)</f>
        <v>28035.258899999993</v>
      </c>
      <c r="AD85" s="6">
        <f t="shared" si="7"/>
        <v>0</v>
      </c>
      <c r="AE85" s="6">
        <f ca="1">(L85-M85)*(Z85+AA85)+($Z$2+$AA$2-$Z$85-$AA$85)*(L85)</f>
        <v>12168.750337043621</v>
      </c>
      <c r="AF85" s="4" t="s">
        <v>570</v>
      </c>
    </row>
    <row r="86" spans="1:32" ht="11.25" customHeight="1" x14ac:dyDescent="0.3">
      <c r="A86" s="4" t="s">
        <v>41</v>
      </c>
      <c r="B86" s="4" t="s">
        <v>39</v>
      </c>
      <c r="C86" s="4" t="s">
        <v>23</v>
      </c>
      <c r="D86" s="4" t="s">
        <v>40</v>
      </c>
      <c r="E86" s="4" t="s">
        <v>25</v>
      </c>
      <c r="F86" s="4" t="s">
        <v>25</v>
      </c>
      <c r="G86" s="4" t="s">
        <v>25</v>
      </c>
      <c r="H86" s="4" t="s">
        <v>25</v>
      </c>
      <c r="I86" s="5">
        <v>44743</v>
      </c>
      <c r="J86" s="6">
        <v>0</v>
      </c>
      <c r="K86" s="6">
        <v>0</v>
      </c>
      <c r="L86" s="6">
        <v>65.037000000000006</v>
      </c>
      <c r="M86" s="6">
        <v>65.037000000000006</v>
      </c>
      <c r="N86" s="6">
        <v>65.037000000000006</v>
      </c>
      <c r="O86" s="6">
        <v>65.037000000000006</v>
      </c>
      <c r="P86" s="6">
        <v>30</v>
      </c>
      <c r="Q86" s="4" t="s">
        <v>26</v>
      </c>
      <c r="R86" s="4">
        <v>0</v>
      </c>
      <c r="S86" s="4">
        <v>0</v>
      </c>
      <c r="T86" s="4">
        <v>33</v>
      </c>
      <c r="U86" s="4">
        <v>64</v>
      </c>
      <c r="V86" s="6">
        <f>IF(ISERROR(VLOOKUP($S$86,'TAR FIN'!$A$1:$O$85,15,0)),0,VLOOKUP($S$86,'TAR FIN'!$A$1:$O$85,15,0))</f>
        <v>0</v>
      </c>
      <c r="W86" s="6">
        <f>IF(ISERROR(VLOOKUP($T$86,'TAR FIN'!$A$1:$O$85,15,0)),0,VLOOKUP($T$86,'TAR FIN'!$A$1:$O$85,15,0))</f>
        <v>267.20999999999998</v>
      </c>
      <c r="X86" s="6">
        <f>IF(ISERROR(VLOOKUP($U$86,'TAR FIN'!$A$1:$O$85,15,0)),0,VLOOKUP($U$86,'TAR FIN'!$A$1:$O$85,15,0))</f>
        <v>273.24</v>
      </c>
      <c r="Y86" s="6"/>
      <c r="Z86" s="6">
        <f ca="1">('TUSD BE'!$AM$33+'TUSD BF'!$AM$33+'TUSD CVA'!$AM$33)*(1-CUSTOS!$M$38)</f>
        <v>292.68592240777247</v>
      </c>
      <c r="AA86" s="6">
        <f>('TE BE'!$AB$23+'TE BF'!$AB$23+'TE CVA'!$AB$23)*(1-CUSTOS!$M$38)</f>
        <v>208.48457914810089</v>
      </c>
      <c r="AB86" s="6">
        <f t="shared" si="6"/>
        <v>0</v>
      </c>
      <c r="AC86" s="6">
        <f>(L86-M86)*(W86+X86)+($W$2+$X$2-$W$86-$X$86)*(L86)</f>
        <v>4793.2268999999997</v>
      </c>
      <c r="AD86" s="6">
        <f t="shared" si="7"/>
        <v>0</v>
      </c>
      <c r="AE86" s="6">
        <f ca="1">(L86-M86)*(Z86+AA86)+($Z$2+$AA$2-$Z$86-$AA$86)*(L86)</f>
        <v>2080.5080367886867</v>
      </c>
      <c r="AF86" s="4" t="s">
        <v>570</v>
      </c>
    </row>
    <row r="87" spans="1:32" ht="11.25" customHeight="1" x14ac:dyDescent="0.3">
      <c r="A87" s="4" t="s">
        <v>21</v>
      </c>
      <c r="B87" s="4" t="s">
        <v>39</v>
      </c>
      <c r="C87" s="4" t="s">
        <v>23</v>
      </c>
      <c r="D87" s="4" t="s">
        <v>40</v>
      </c>
      <c r="E87" s="4" t="s">
        <v>25</v>
      </c>
      <c r="F87" s="4" t="s">
        <v>25</v>
      </c>
      <c r="G87" s="4" t="s">
        <v>25</v>
      </c>
      <c r="H87" s="4" t="s">
        <v>25</v>
      </c>
      <c r="I87" s="5">
        <v>44774</v>
      </c>
      <c r="J87" s="6">
        <v>0</v>
      </c>
      <c r="K87" s="6">
        <v>0</v>
      </c>
      <c r="L87" s="6">
        <v>433.69900000000001</v>
      </c>
      <c r="M87" s="6">
        <v>433.69900000000001</v>
      </c>
      <c r="N87" s="6">
        <v>433.69900000000001</v>
      </c>
      <c r="O87" s="6">
        <v>433.69900000000001</v>
      </c>
      <c r="P87" s="6">
        <v>939</v>
      </c>
      <c r="Q87" s="4" t="s">
        <v>26</v>
      </c>
      <c r="R87" s="4">
        <v>0</v>
      </c>
      <c r="S87" s="4">
        <v>0</v>
      </c>
      <c r="T87" s="4">
        <v>33</v>
      </c>
      <c r="U87" s="4">
        <v>64</v>
      </c>
      <c r="V87" s="6">
        <f>IF(ISERROR(VLOOKUP($S$87,'TAR FIN'!$A$1:$O$85,15,0)),0,VLOOKUP($S$87,'TAR FIN'!$A$1:$O$85,15,0))</f>
        <v>0</v>
      </c>
      <c r="W87" s="6">
        <f>IF(ISERROR(VLOOKUP($T$87,'TAR FIN'!$A$1:$O$85,15,0)),0,VLOOKUP($T$87,'TAR FIN'!$A$1:$O$85,15,0))</f>
        <v>267.20999999999998</v>
      </c>
      <c r="X87" s="6">
        <f>IF(ISERROR(VLOOKUP($U$87,'TAR FIN'!$A$1:$O$85,15,0)),0,VLOOKUP($U$87,'TAR FIN'!$A$1:$O$85,15,0))</f>
        <v>273.24</v>
      </c>
      <c r="Y87" s="6"/>
      <c r="Z87" s="6">
        <f ca="1">('TUSD BE'!$AM$33+'TUSD BF'!$AM$33+'TUSD CVA'!$AM$33)*(1-CUSTOS!$M$38)</f>
        <v>292.68592240777247</v>
      </c>
      <c r="AA87" s="6">
        <f>('TE BE'!$AB$23+'TE BF'!$AB$23+'TE CVA'!$AB$23)*(1-CUSTOS!$M$38)</f>
        <v>208.48457914810089</v>
      </c>
      <c r="AB87" s="6">
        <f t="shared" si="6"/>
        <v>0</v>
      </c>
      <c r="AC87" s="6">
        <f>(L87-M87)*(W87+X87)+($W$2+$X$2-$W$87-$X$87)*(L87)</f>
        <v>31963.616299999994</v>
      </c>
      <c r="AD87" s="6">
        <f t="shared" si="7"/>
        <v>0</v>
      </c>
      <c r="AE87" s="6">
        <f ca="1">(L87-M87)*(Z87+AA87)+($Z$2+$AA$2-$Z$87-$AA$87)*(L87)</f>
        <v>13873.860341762636</v>
      </c>
      <c r="AF87" s="4" t="s">
        <v>570</v>
      </c>
    </row>
    <row r="88" spans="1:32" ht="11.25" customHeight="1" x14ac:dyDescent="0.3">
      <c r="A88" s="4" t="s">
        <v>41</v>
      </c>
      <c r="B88" s="4" t="s">
        <v>39</v>
      </c>
      <c r="C88" s="4" t="s">
        <v>23</v>
      </c>
      <c r="D88" s="4" t="s">
        <v>40</v>
      </c>
      <c r="E88" s="4" t="s">
        <v>25</v>
      </c>
      <c r="F88" s="4" t="s">
        <v>25</v>
      </c>
      <c r="G88" s="4" t="s">
        <v>25</v>
      </c>
      <c r="H88" s="4" t="s">
        <v>25</v>
      </c>
      <c r="I88" s="5">
        <v>44774</v>
      </c>
      <c r="J88" s="6">
        <v>0</v>
      </c>
      <c r="K88" s="6">
        <v>0</v>
      </c>
      <c r="L88" s="6">
        <v>30.49</v>
      </c>
      <c r="M88" s="6">
        <v>30.49</v>
      </c>
      <c r="N88" s="6">
        <v>30.49</v>
      </c>
      <c r="O88" s="6">
        <v>30.49</v>
      </c>
      <c r="P88" s="6">
        <v>32</v>
      </c>
      <c r="Q88" s="4" t="s">
        <v>26</v>
      </c>
      <c r="R88" s="4">
        <v>0</v>
      </c>
      <c r="S88" s="4">
        <v>0</v>
      </c>
      <c r="T88" s="4">
        <v>33</v>
      </c>
      <c r="U88" s="4">
        <v>64</v>
      </c>
      <c r="V88" s="6">
        <f>IF(ISERROR(VLOOKUP($S$88,'TAR FIN'!$A$1:$O$85,15,0)),0,VLOOKUP($S$88,'TAR FIN'!$A$1:$O$85,15,0))</f>
        <v>0</v>
      </c>
      <c r="W88" s="6">
        <f>IF(ISERROR(VLOOKUP($T$88,'TAR FIN'!$A$1:$O$85,15,0)),0,VLOOKUP($T$88,'TAR FIN'!$A$1:$O$85,15,0))</f>
        <v>267.20999999999998</v>
      </c>
      <c r="X88" s="6">
        <f>IF(ISERROR(VLOOKUP($U$88,'TAR FIN'!$A$1:$O$85,15,0)),0,VLOOKUP($U$88,'TAR FIN'!$A$1:$O$85,15,0))</f>
        <v>273.24</v>
      </c>
      <c r="Y88" s="6"/>
      <c r="Z88" s="6">
        <f ca="1">('TUSD BE'!$AM$33+'TUSD BF'!$AM$33+'TUSD CVA'!$AM$33)*(1-CUSTOS!$M$38)</f>
        <v>292.68592240777247</v>
      </c>
      <c r="AA88" s="6">
        <f>('TE BE'!$AB$23+'TE BF'!$AB$23+'TE CVA'!$AB$23)*(1-CUSTOS!$M$38)</f>
        <v>208.48457914810089</v>
      </c>
      <c r="AB88" s="6">
        <f t="shared" si="6"/>
        <v>0</v>
      </c>
      <c r="AC88" s="6">
        <f>(L88-M88)*(W88+X88)+($W$2+$X$2-$W$88-$X$88)*(L88)</f>
        <v>2247.1129999999994</v>
      </c>
      <c r="AD88" s="6">
        <f t="shared" si="7"/>
        <v>0</v>
      </c>
      <c r="AE88" s="6">
        <f ca="1">(L88-M88)*(Z88+AA88)+($Z$2+$AA$2-$Z$88-$AA$88)*(L88)</f>
        <v>975.36310164501811</v>
      </c>
      <c r="AF88" s="4" t="s">
        <v>570</v>
      </c>
    </row>
    <row r="89" spans="1:32" ht="11.25" customHeight="1" x14ac:dyDescent="0.3">
      <c r="A89" s="4" t="s">
        <v>21</v>
      </c>
      <c r="B89" s="4" t="s">
        <v>31</v>
      </c>
      <c r="C89" s="4" t="s">
        <v>23</v>
      </c>
      <c r="D89" s="4" t="s">
        <v>46</v>
      </c>
      <c r="E89" s="4" t="s">
        <v>47</v>
      </c>
      <c r="F89" s="4" t="s">
        <v>25</v>
      </c>
      <c r="G89" s="4" t="s">
        <v>25</v>
      </c>
      <c r="H89" s="4" t="s">
        <v>25</v>
      </c>
      <c r="I89" s="5">
        <v>44440</v>
      </c>
      <c r="J89" s="6">
        <v>0</v>
      </c>
      <c r="K89" s="52">
        <v>0</v>
      </c>
      <c r="L89" s="6">
        <v>0.79900000000000004</v>
      </c>
      <c r="M89" s="52">
        <v>0.79900000000000004</v>
      </c>
      <c r="N89" s="6">
        <v>0.79900000000000004</v>
      </c>
      <c r="O89" s="52">
        <v>0.79900000000000004</v>
      </c>
      <c r="P89" s="6">
        <v>2</v>
      </c>
      <c r="Q89" s="4" t="s">
        <v>26</v>
      </c>
      <c r="R89" s="4">
        <v>0</v>
      </c>
      <c r="S89" s="4">
        <v>0</v>
      </c>
      <c r="T89" s="4">
        <v>32</v>
      </c>
      <c r="U89" s="4">
        <v>55</v>
      </c>
      <c r="V89" s="52">
        <f>IF(ISERROR(VLOOKUP($S$89,'TAR FIN'!$A$1:$O$85,15,0)),0,VLOOKUP($S$89,'TAR FIN'!$A$1:$O$85,15,0))</f>
        <v>0</v>
      </c>
      <c r="W89" s="52">
        <f>IF(ISERROR(VLOOKUP($T$89,'TAR FIN'!$A$1:$O$85,15,0)),0,VLOOKUP($T$89,'TAR FIN'!$A$1:$O$85,15,0))*(1-0.06)</f>
        <v>285.43099999999998</v>
      </c>
      <c r="X89" s="52">
        <f>IF(ISERROR(VLOOKUP($U$89,'TAR FIN'!$A$1:$O$85,15,0)),0,VLOOKUP($U$89,'TAR FIN'!$A$1:$O$85,15,0))*(1-0.06)</f>
        <v>291.87</v>
      </c>
      <c r="Y89" s="52"/>
      <c r="Z89" s="52">
        <f ca="1">('TUSD BE'!$AM$48+'TUSD BF'!$AM$48+'TUSD CVA'!$AM$48)*1*(1-0.03)</f>
        <v>302.02696248461632</v>
      </c>
      <c r="AA89" s="52">
        <f>('TE BE'!$AB$38+'TE BF'!$AB$38+'TE CVA'!$AB$38)*1*(1-0.03)</f>
        <v>215.13834231240199</v>
      </c>
      <c r="AB89" s="52">
        <f>(SUBSIDIO!$J$89*SUBSIDIO!$V$89)*(0.06)/(1-0.06)</f>
        <v>0</v>
      </c>
      <c r="AC89" s="52">
        <f>((SUBSIDIO!$L$89*SUBSIDIO!$W$89)+(SUBSIDIO!$N$89*SUBSIDIO!$X$89))*(0.06)/(1-0.06)</f>
        <v>29.442351000000002</v>
      </c>
      <c r="AD89" s="52">
        <f>(SUBSIDIO!$J$89*SUBSIDIO!$Y$89)*(0.03)/(1-0.03)</f>
        <v>0</v>
      </c>
      <c r="AE89" s="52">
        <f ca="1">((SUBSIDIO!$L$89*SUBSIDIO!$Z$89)+(SUBSIDIO!$N$89*SUBSIDIO!$AA$89))*(0.03)/(1-0.03)</f>
        <v>12.779847789674772</v>
      </c>
      <c r="AF89" s="4" t="s">
        <v>572</v>
      </c>
    </row>
    <row r="90" spans="1:32" ht="11.25" customHeight="1" x14ac:dyDescent="0.3">
      <c r="A90" s="4" t="s">
        <v>21</v>
      </c>
      <c r="B90" s="4" t="s">
        <v>31</v>
      </c>
      <c r="C90" s="4" t="s">
        <v>23</v>
      </c>
      <c r="D90" s="4" t="s">
        <v>46</v>
      </c>
      <c r="E90" s="4" t="s">
        <v>47</v>
      </c>
      <c r="F90" s="4" t="s">
        <v>25</v>
      </c>
      <c r="G90" s="4" t="s">
        <v>25</v>
      </c>
      <c r="H90" s="4" t="s">
        <v>25</v>
      </c>
      <c r="I90" s="5">
        <v>44470</v>
      </c>
      <c r="J90" s="6">
        <v>0</v>
      </c>
      <c r="K90" s="52">
        <v>0</v>
      </c>
      <c r="L90" s="6">
        <v>0.68899999999999995</v>
      </c>
      <c r="M90" s="52">
        <v>0.68899999999999995</v>
      </c>
      <c r="N90" s="6">
        <v>0.68899999999999995</v>
      </c>
      <c r="O90" s="52">
        <v>0.68899999999999995</v>
      </c>
      <c r="P90" s="6">
        <v>2</v>
      </c>
      <c r="Q90" s="4" t="s">
        <v>26</v>
      </c>
      <c r="R90" s="4">
        <v>0</v>
      </c>
      <c r="S90" s="4">
        <v>0</v>
      </c>
      <c r="T90" s="4">
        <v>32</v>
      </c>
      <c r="U90" s="4">
        <v>55</v>
      </c>
      <c r="V90" s="52">
        <f>IF(ISERROR(VLOOKUP($S$90,'TAR FIN'!$A$1:$O$85,15,0)),0,VLOOKUP($S$90,'TAR FIN'!$A$1:$O$85,15,0))</f>
        <v>0</v>
      </c>
      <c r="W90" s="52">
        <f>IF(ISERROR(VLOOKUP($T$90,'TAR FIN'!$A$1:$O$85,15,0)),0,VLOOKUP($T$90,'TAR FIN'!$A$1:$O$85,15,0))*(1-0.06)</f>
        <v>285.43099999999998</v>
      </c>
      <c r="X90" s="52">
        <f>IF(ISERROR(VLOOKUP($U$90,'TAR FIN'!$A$1:$O$85,15,0)),0,VLOOKUP($U$90,'TAR FIN'!$A$1:$O$85,15,0))*(1-0.06)</f>
        <v>291.87</v>
      </c>
      <c r="Y90" s="52"/>
      <c r="Z90" s="52">
        <f ca="1">('TUSD BE'!$AM$48+'TUSD BF'!$AM$48+'TUSD CVA'!$AM$48)*1*(1-0.03)</f>
        <v>302.02696248461632</v>
      </c>
      <c r="AA90" s="52">
        <f>('TE BE'!$AB$38+'TE BF'!$AB$38+'TE CVA'!$AB$38)*1*(1-0.03)</f>
        <v>215.13834231240199</v>
      </c>
      <c r="AB90" s="52">
        <f>(SUBSIDIO!$J$90*SUBSIDIO!$V$90)*(0.06)/(1-0.06)</f>
        <v>0</v>
      </c>
      <c r="AC90" s="52">
        <f>((SUBSIDIO!$L$90*SUBSIDIO!$W$90)+(SUBSIDIO!$N$90*SUBSIDIO!$X$90))*(0.06)/(1-0.06)</f>
        <v>25.388960999999998</v>
      </c>
      <c r="AD90" s="52">
        <f>(SUBSIDIO!$J$90*SUBSIDIO!$Y$90)*(0.03)/(1-0.03)</f>
        <v>0</v>
      </c>
      <c r="AE90" s="52">
        <f ca="1">((SUBSIDIO!$L$90*SUBSIDIO!$Z$90)+(SUBSIDIO!$N$90*SUBSIDIO!$AA$90))*(0.03)/(1-0.03)</f>
        <v>11.020419433148833</v>
      </c>
      <c r="AF90" s="4" t="s">
        <v>572</v>
      </c>
    </row>
    <row r="91" spans="1:32" ht="11.25" customHeight="1" x14ac:dyDescent="0.3">
      <c r="A91" s="4" t="s">
        <v>21</v>
      </c>
      <c r="B91" s="4" t="s">
        <v>31</v>
      </c>
      <c r="C91" s="4" t="s">
        <v>23</v>
      </c>
      <c r="D91" s="4" t="s">
        <v>46</v>
      </c>
      <c r="E91" s="4" t="s">
        <v>47</v>
      </c>
      <c r="F91" s="4" t="s">
        <v>25</v>
      </c>
      <c r="G91" s="4" t="s">
        <v>25</v>
      </c>
      <c r="H91" s="4" t="s">
        <v>25</v>
      </c>
      <c r="I91" s="5">
        <v>44501</v>
      </c>
      <c r="J91" s="6">
        <v>0</v>
      </c>
      <c r="K91" s="52">
        <v>0</v>
      </c>
      <c r="L91" s="6">
        <v>0.83799999999999997</v>
      </c>
      <c r="M91" s="52">
        <v>0.83799999999999997</v>
      </c>
      <c r="N91" s="6">
        <v>0.83799999999999997</v>
      </c>
      <c r="O91" s="52">
        <v>0.83799999999999997</v>
      </c>
      <c r="P91" s="6">
        <v>2</v>
      </c>
      <c r="Q91" s="4" t="s">
        <v>26</v>
      </c>
      <c r="R91" s="4">
        <v>0</v>
      </c>
      <c r="S91" s="4">
        <v>0</v>
      </c>
      <c r="T91" s="4">
        <v>32</v>
      </c>
      <c r="U91" s="4">
        <v>55</v>
      </c>
      <c r="V91" s="52">
        <f>IF(ISERROR(VLOOKUP($S$91,'TAR FIN'!$A$1:$O$85,15,0)),0,VLOOKUP($S$91,'TAR FIN'!$A$1:$O$85,15,0))</f>
        <v>0</v>
      </c>
      <c r="W91" s="52">
        <f>IF(ISERROR(VLOOKUP($T$91,'TAR FIN'!$A$1:$O$85,15,0)),0,VLOOKUP($T$91,'TAR FIN'!$A$1:$O$85,15,0))*(1-0.06)</f>
        <v>285.43099999999998</v>
      </c>
      <c r="X91" s="52">
        <f>IF(ISERROR(VLOOKUP($U$91,'TAR FIN'!$A$1:$O$85,15,0)),0,VLOOKUP($U$91,'TAR FIN'!$A$1:$O$85,15,0))*(1-0.06)</f>
        <v>291.87</v>
      </c>
      <c r="Y91" s="52"/>
      <c r="Z91" s="52">
        <f ca="1">('TUSD BE'!$AM$48+'TUSD BF'!$AM$48+'TUSD CVA'!$AM$48)*1*(1-0.03)</f>
        <v>302.02696248461632</v>
      </c>
      <c r="AA91" s="52">
        <f>('TE BE'!$AB$38+'TE BF'!$AB$38+'TE CVA'!$AB$38)*1*(1-0.03)</f>
        <v>215.13834231240199</v>
      </c>
      <c r="AB91" s="52">
        <f>(SUBSIDIO!$J$91*SUBSIDIO!$V$91)*(0.06)/(1-0.06)</f>
        <v>0</v>
      </c>
      <c r="AC91" s="52">
        <f>((SUBSIDIO!$L$91*SUBSIDIO!$W$91)+(SUBSIDIO!$N$91*SUBSIDIO!$X$91))*(0.06)/(1-0.06)</f>
        <v>30.879462</v>
      </c>
      <c r="AD91" s="52">
        <f>(SUBSIDIO!$J$91*SUBSIDIO!$Y$91)*(0.03)/(1-0.03)</f>
        <v>0</v>
      </c>
      <c r="AE91" s="52">
        <f ca="1">((SUBSIDIO!$L$91*SUBSIDIO!$Z$91)+(SUBSIDIO!$N$91*SUBSIDIO!$AA$91))*(0.03)/(1-0.03)</f>
        <v>13.403645116079423</v>
      </c>
      <c r="AF91" s="4" t="s">
        <v>572</v>
      </c>
    </row>
    <row r="92" spans="1:32" ht="11.25" customHeight="1" x14ac:dyDescent="0.3">
      <c r="A92" s="4" t="s">
        <v>21</v>
      </c>
      <c r="B92" s="4" t="s">
        <v>31</v>
      </c>
      <c r="C92" s="4" t="s">
        <v>23</v>
      </c>
      <c r="D92" s="4" t="s">
        <v>46</v>
      </c>
      <c r="E92" s="4" t="s">
        <v>47</v>
      </c>
      <c r="F92" s="4" t="s">
        <v>25</v>
      </c>
      <c r="G92" s="4" t="s">
        <v>25</v>
      </c>
      <c r="H92" s="4" t="s">
        <v>25</v>
      </c>
      <c r="I92" s="5">
        <v>44531</v>
      </c>
      <c r="J92" s="6">
        <v>0</v>
      </c>
      <c r="K92" s="52">
        <v>0</v>
      </c>
      <c r="L92" s="6">
        <v>0.78700000000000003</v>
      </c>
      <c r="M92" s="52">
        <v>0.78700000000000003</v>
      </c>
      <c r="N92" s="6">
        <v>0.78700000000000003</v>
      </c>
      <c r="O92" s="52">
        <v>0.78700000000000003</v>
      </c>
      <c r="P92" s="6">
        <v>2</v>
      </c>
      <c r="Q92" s="4" t="s">
        <v>26</v>
      </c>
      <c r="R92" s="4">
        <v>0</v>
      </c>
      <c r="S92" s="4">
        <v>0</v>
      </c>
      <c r="T92" s="4">
        <v>32</v>
      </c>
      <c r="U92" s="4">
        <v>55</v>
      </c>
      <c r="V92" s="52">
        <f>IF(ISERROR(VLOOKUP($S$92,'TAR FIN'!$A$1:$O$85,15,0)),0,VLOOKUP($S$92,'TAR FIN'!$A$1:$O$85,15,0))</f>
        <v>0</v>
      </c>
      <c r="W92" s="52">
        <f>IF(ISERROR(VLOOKUP($T$92,'TAR FIN'!$A$1:$O$85,15,0)),0,VLOOKUP($T$92,'TAR FIN'!$A$1:$O$85,15,0))*(1-0.06)</f>
        <v>285.43099999999998</v>
      </c>
      <c r="X92" s="52">
        <f>IF(ISERROR(VLOOKUP($U$92,'TAR FIN'!$A$1:$O$85,15,0)),0,VLOOKUP($U$92,'TAR FIN'!$A$1:$O$85,15,0))*(1-0.06)</f>
        <v>291.87</v>
      </c>
      <c r="Y92" s="52"/>
      <c r="Z92" s="52">
        <f ca="1">('TUSD BE'!$AM$48+'TUSD BF'!$AM$48+'TUSD CVA'!$AM$48)*1*(1-0.03)</f>
        <v>302.02696248461632</v>
      </c>
      <c r="AA92" s="52">
        <f>('TE BE'!$AB$38+'TE BF'!$AB$38+'TE CVA'!$AB$38)*1*(1-0.03)</f>
        <v>215.13834231240199</v>
      </c>
      <c r="AB92" s="52">
        <f>(SUBSIDIO!$J$92*SUBSIDIO!$V$92)*(0.06)/(1-0.06)</f>
        <v>0</v>
      </c>
      <c r="AC92" s="52">
        <f>((SUBSIDIO!$L$92*SUBSIDIO!$W$92)+(SUBSIDIO!$N$92*SUBSIDIO!$X$92))*(0.06)/(1-0.06)</f>
        <v>29.000163000000001</v>
      </c>
      <c r="AD92" s="52">
        <f>(SUBSIDIO!$J$92*SUBSIDIO!$Y$92)*(0.03)/(1-0.03)</f>
        <v>0</v>
      </c>
      <c r="AE92" s="52">
        <f ca="1">((SUBSIDIO!$L$92*SUBSIDIO!$Z$92)+(SUBSIDIO!$N$92*SUBSIDIO!$AA$92))*(0.03)/(1-0.03)</f>
        <v>12.587910150781033</v>
      </c>
      <c r="AF92" s="4" t="s">
        <v>572</v>
      </c>
    </row>
    <row r="93" spans="1:32" ht="11.25" customHeight="1" x14ac:dyDescent="0.3">
      <c r="A93" s="4" t="s">
        <v>21</v>
      </c>
      <c r="B93" s="4" t="s">
        <v>31</v>
      </c>
      <c r="C93" s="4" t="s">
        <v>23</v>
      </c>
      <c r="D93" s="4" t="s">
        <v>46</v>
      </c>
      <c r="E93" s="4" t="s">
        <v>47</v>
      </c>
      <c r="F93" s="4" t="s">
        <v>25</v>
      </c>
      <c r="G93" s="4" t="s">
        <v>25</v>
      </c>
      <c r="H93" s="4" t="s">
        <v>25</v>
      </c>
      <c r="I93" s="5">
        <v>44562</v>
      </c>
      <c r="J93" s="6">
        <v>0</v>
      </c>
      <c r="K93" s="52">
        <v>0</v>
      </c>
      <c r="L93" s="6">
        <v>0.80200000000000005</v>
      </c>
      <c r="M93" s="52">
        <v>0.80200000000000005</v>
      </c>
      <c r="N93" s="6">
        <v>0.80200000000000005</v>
      </c>
      <c r="O93" s="52">
        <v>0.80200000000000005</v>
      </c>
      <c r="P93" s="6">
        <v>2</v>
      </c>
      <c r="Q93" s="4" t="s">
        <v>26</v>
      </c>
      <c r="R93" s="4">
        <v>0</v>
      </c>
      <c r="S93" s="4">
        <v>0</v>
      </c>
      <c r="T93" s="4">
        <v>32</v>
      </c>
      <c r="U93" s="4">
        <v>55</v>
      </c>
      <c r="V93" s="52">
        <f>IF(ISERROR(VLOOKUP($S$93,'TAR FIN'!$A$1:$O$85,15,0)),0,VLOOKUP($S$93,'TAR FIN'!$A$1:$O$85,15,0))</f>
        <v>0</v>
      </c>
      <c r="W93" s="52">
        <f>IF(ISERROR(VLOOKUP($T$93,'TAR FIN'!$A$1:$O$85,15,0)),0,VLOOKUP($T$93,'TAR FIN'!$A$1:$O$85,15,0))*(1-0.06)</f>
        <v>285.43099999999998</v>
      </c>
      <c r="X93" s="52">
        <f>IF(ISERROR(VLOOKUP($U$93,'TAR FIN'!$A$1:$O$85,15,0)),0,VLOOKUP($U$93,'TAR FIN'!$A$1:$O$85,15,0))*(1-0.06)</f>
        <v>291.87</v>
      </c>
      <c r="Y93" s="52"/>
      <c r="Z93" s="52">
        <f ca="1">('TUSD BE'!$AM$48+'TUSD BF'!$AM$48+'TUSD CVA'!$AM$48)*1*(1-0.03)</f>
        <v>302.02696248461632</v>
      </c>
      <c r="AA93" s="52">
        <f>('TE BE'!$AB$38+'TE BF'!$AB$38+'TE CVA'!$AB$38)*1*(1-0.03)</f>
        <v>215.13834231240199</v>
      </c>
      <c r="AB93" s="52">
        <f>(SUBSIDIO!$J$93*SUBSIDIO!$V$93)*(0.06)/(1-0.06)</f>
        <v>0</v>
      </c>
      <c r="AC93" s="52">
        <f>((SUBSIDIO!$L$93*SUBSIDIO!$W$93)+(SUBSIDIO!$N$93*SUBSIDIO!$X$93))*(0.06)/(1-0.06)</f>
        <v>29.552898000000003</v>
      </c>
      <c r="AD93" s="52">
        <f>(SUBSIDIO!$J$93*SUBSIDIO!$Y$93)*(0.03)/(1-0.03)</f>
        <v>0</v>
      </c>
      <c r="AE93" s="52">
        <f ca="1">((SUBSIDIO!$L$93*SUBSIDIO!$Z$93)+(SUBSIDIO!$N$93*SUBSIDIO!$AA$93))*(0.03)/(1-0.03)</f>
        <v>12.827832199398207</v>
      </c>
      <c r="AF93" s="4" t="s">
        <v>572</v>
      </c>
    </row>
    <row r="94" spans="1:32" ht="11.25" customHeight="1" x14ac:dyDescent="0.3">
      <c r="A94" s="4" t="s">
        <v>21</v>
      </c>
      <c r="B94" s="4" t="s">
        <v>31</v>
      </c>
      <c r="C94" s="4" t="s">
        <v>23</v>
      </c>
      <c r="D94" s="4" t="s">
        <v>46</v>
      </c>
      <c r="E94" s="4" t="s">
        <v>47</v>
      </c>
      <c r="F94" s="4" t="s">
        <v>25</v>
      </c>
      <c r="G94" s="4" t="s">
        <v>25</v>
      </c>
      <c r="H94" s="4" t="s">
        <v>25</v>
      </c>
      <c r="I94" s="5">
        <v>44593</v>
      </c>
      <c r="J94" s="6">
        <v>0</v>
      </c>
      <c r="K94" s="52">
        <v>0</v>
      </c>
      <c r="L94" s="6">
        <v>0.71099999999999997</v>
      </c>
      <c r="M94" s="52">
        <v>0.71099999999999997</v>
      </c>
      <c r="N94" s="6">
        <v>0.71099999999999997</v>
      </c>
      <c r="O94" s="52">
        <v>0.71099999999999997</v>
      </c>
      <c r="P94" s="6">
        <v>2</v>
      </c>
      <c r="Q94" s="4" t="s">
        <v>26</v>
      </c>
      <c r="R94" s="4">
        <v>0</v>
      </c>
      <c r="S94" s="4">
        <v>0</v>
      </c>
      <c r="T94" s="4">
        <v>32</v>
      </c>
      <c r="U94" s="4">
        <v>55</v>
      </c>
      <c r="V94" s="52">
        <f>IF(ISERROR(VLOOKUP($S$94,'TAR FIN'!$A$1:$O$85,15,0)),0,VLOOKUP($S$94,'TAR FIN'!$A$1:$O$85,15,0))</f>
        <v>0</v>
      </c>
      <c r="W94" s="52">
        <f>IF(ISERROR(VLOOKUP($T$94,'TAR FIN'!$A$1:$O$85,15,0)),0,VLOOKUP($T$94,'TAR FIN'!$A$1:$O$85,15,0))*(1-0.06)</f>
        <v>285.43099999999998</v>
      </c>
      <c r="X94" s="52">
        <f>IF(ISERROR(VLOOKUP($U$94,'TAR FIN'!$A$1:$O$85,15,0)),0,VLOOKUP($U$94,'TAR FIN'!$A$1:$O$85,15,0))*(1-0.06)</f>
        <v>291.87</v>
      </c>
      <c r="Y94" s="52"/>
      <c r="Z94" s="52">
        <f ca="1">('TUSD BE'!$AM$48+'TUSD BF'!$AM$48+'TUSD CVA'!$AM$48)*1*(1-0.03)</f>
        <v>302.02696248461632</v>
      </c>
      <c r="AA94" s="52">
        <f>('TE BE'!$AB$38+'TE BF'!$AB$38+'TE CVA'!$AB$38)*1*(1-0.03)</f>
        <v>215.13834231240199</v>
      </c>
      <c r="AB94" s="52">
        <f>(SUBSIDIO!$J$94*SUBSIDIO!$V$94)*(0.06)/(1-0.06)</f>
        <v>0</v>
      </c>
      <c r="AC94" s="52">
        <f>((SUBSIDIO!$L$94*SUBSIDIO!$W$94)+(SUBSIDIO!$N$94*SUBSIDIO!$X$94))*(0.06)/(1-0.06)</f>
        <v>26.199638999999998</v>
      </c>
      <c r="AD94" s="52">
        <f>(SUBSIDIO!$J$94*SUBSIDIO!$Y$94)*(0.03)/(1-0.03)</f>
        <v>0</v>
      </c>
      <c r="AE94" s="52">
        <f ca="1">((SUBSIDIO!$L$94*SUBSIDIO!$Z$94)+(SUBSIDIO!$N$94*SUBSIDIO!$AA$94))*(0.03)/(1-0.03)</f>
        <v>11.37230510445402</v>
      </c>
      <c r="AF94" s="4" t="s">
        <v>572</v>
      </c>
    </row>
    <row r="95" spans="1:32" ht="11.25" customHeight="1" x14ac:dyDescent="0.3">
      <c r="A95" s="4" t="s">
        <v>21</v>
      </c>
      <c r="B95" s="4" t="s">
        <v>31</v>
      </c>
      <c r="C95" s="4" t="s">
        <v>23</v>
      </c>
      <c r="D95" s="4" t="s">
        <v>46</v>
      </c>
      <c r="E95" s="4" t="s">
        <v>47</v>
      </c>
      <c r="F95" s="4" t="s">
        <v>25</v>
      </c>
      <c r="G95" s="4" t="s">
        <v>25</v>
      </c>
      <c r="H95" s="4" t="s">
        <v>25</v>
      </c>
      <c r="I95" s="5">
        <v>44621</v>
      </c>
      <c r="J95" s="6">
        <v>0</v>
      </c>
      <c r="K95" s="52">
        <v>0</v>
      </c>
      <c r="L95" s="6">
        <v>0.63300000000000001</v>
      </c>
      <c r="M95" s="52">
        <v>0.63300000000000001</v>
      </c>
      <c r="N95" s="6">
        <v>0.63300000000000001</v>
      </c>
      <c r="O95" s="52">
        <v>0.63300000000000001</v>
      </c>
      <c r="P95" s="6">
        <v>2</v>
      </c>
      <c r="Q95" s="4" t="s">
        <v>26</v>
      </c>
      <c r="R95" s="4">
        <v>0</v>
      </c>
      <c r="S95" s="4">
        <v>0</v>
      </c>
      <c r="T95" s="4">
        <v>32</v>
      </c>
      <c r="U95" s="4">
        <v>55</v>
      </c>
      <c r="V95" s="52">
        <f>IF(ISERROR(VLOOKUP($S$95,'TAR FIN'!$A$1:$O$85,15,0)),0,VLOOKUP($S$95,'TAR FIN'!$A$1:$O$85,15,0))</f>
        <v>0</v>
      </c>
      <c r="W95" s="52">
        <f>IF(ISERROR(VLOOKUP($T$95,'TAR FIN'!$A$1:$O$85,15,0)),0,VLOOKUP($T$95,'TAR FIN'!$A$1:$O$85,15,0))*(1-0.06)</f>
        <v>285.43099999999998</v>
      </c>
      <c r="X95" s="52">
        <f>IF(ISERROR(VLOOKUP($U$95,'TAR FIN'!$A$1:$O$85,15,0)),0,VLOOKUP($U$95,'TAR FIN'!$A$1:$O$85,15,0))*(1-0.06)</f>
        <v>291.87</v>
      </c>
      <c r="Y95" s="52"/>
      <c r="Z95" s="52">
        <f ca="1">('TUSD BE'!$AM$48+'TUSD BF'!$AM$48+'TUSD CVA'!$AM$48)*1*(1-0.03)</f>
        <v>302.02696248461632</v>
      </c>
      <c r="AA95" s="52">
        <f>('TE BE'!$AB$38+'TE BF'!$AB$38+'TE CVA'!$AB$38)*1*(1-0.03)</f>
        <v>215.13834231240199</v>
      </c>
      <c r="AB95" s="52">
        <f>(SUBSIDIO!$J$95*SUBSIDIO!$V$95)*(0.06)/(1-0.06)</f>
        <v>0</v>
      </c>
      <c r="AC95" s="52">
        <f>((SUBSIDIO!$L$95*SUBSIDIO!$W$95)+(SUBSIDIO!$N$95*SUBSIDIO!$X$95))*(0.06)/(1-0.06)</f>
        <v>23.325417000000002</v>
      </c>
      <c r="AD95" s="52">
        <f>(SUBSIDIO!$J$95*SUBSIDIO!$Y$95)*(0.03)/(1-0.03)</f>
        <v>0</v>
      </c>
      <c r="AE95" s="52">
        <f ca="1">((SUBSIDIO!$L$95*SUBSIDIO!$Z$95)+(SUBSIDIO!$N$95*SUBSIDIO!$AA$95))*(0.03)/(1-0.03)</f>
        <v>10.124710451644718</v>
      </c>
      <c r="AF95" s="4" t="s">
        <v>572</v>
      </c>
    </row>
    <row r="96" spans="1:32" ht="11.25" customHeight="1" x14ac:dyDescent="0.3">
      <c r="A96" s="4" t="s">
        <v>21</v>
      </c>
      <c r="B96" s="4" t="s">
        <v>31</v>
      </c>
      <c r="C96" s="4" t="s">
        <v>23</v>
      </c>
      <c r="D96" s="4" t="s">
        <v>46</v>
      </c>
      <c r="E96" s="4" t="s">
        <v>47</v>
      </c>
      <c r="F96" s="4" t="s">
        <v>25</v>
      </c>
      <c r="G96" s="4" t="s">
        <v>25</v>
      </c>
      <c r="H96" s="4" t="s">
        <v>25</v>
      </c>
      <c r="I96" s="5">
        <v>44652</v>
      </c>
      <c r="J96" s="6">
        <v>0</v>
      </c>
      <c r="K96" s="52">
        <v>0</v>
      </c>
      <c r="L96" s="6">
        <v>0.309</v>
      </c>
      <c r="M96" s="52">
        <v>0.309</v>
      </c>
      <c r="N96" s="6">
        <v>0.309</v>
      </c>
      <c r="O96" s="52">
        <v>0.309</v>
      </c>
      <c r="P96" s="6">
        <v>2</v>
      </c>
      <c r="Q96" s="4" t="s">
        <v>26</v>
      </c>
      <c r="R96" s="4">
        <v>0</v>
      </c>
      <c r="S96" s="4">
        <v>0</v>
      </c>
      <c r="T96" s="4">
        <v>32</v>
      </c>
      <c r="U96" s="4">
        <v>55</v>
      </c>
      <c r="V96" s="52">
        <f>IF(ISERROR(VLOOKUP($S$96,'TAR FIN'!$A$1:$O$85,15,0)),0,VLOOKUP($S$96,'TAR FIN'!$A$1:$O$85,15,0))</f>
        <v>0</v>
      </c>
      <c r="W96" s="52">
        <f>IF(ISERROR(VLOOKUP($T$96,'TAR FIN'!$A$1:$O$85,15,0)),0,VLOOKUP($T$96,'TAR FIN'!$A$1:$O$85,15,0))*(1-0.06)</f>
        <v>285.43099999999998</v>
      </c>
      <c r="X96" s="52">
        <f>IF(ISERROR(VLOOKUP($U$96,'TAR FIN'!$A$1:$O$85,15,0)),0,VLOOKUP($U$96,'TAR FIN'!$A$1:$O$85,15,0))*(1-0.06)</f>
        <v>291.87</v>
      </c>
      <c r="Y96" s="52"/>
      <c r="Z96" s="52">
        <f ca="1">('TUSD BE'!$AM$48+'TUSD BF'!$AM$48+'TUSD CVA'!$AM$48)*1*(1-0.03)</f>
        <v>302.02696248461632</v>
      </c>
      <c r="AA96" s="52">
        <f>('TE BE'!$AB$38+'TE BF'!$AB$38+'TE CVA'!$AB$38)*1*(1-0.03)</f>
        <v>215.13834231240199</v>
      </c>
      <c r="AB96" s="52">
        <f>(SUBSIDIO!$J$96*SUBSIDIO!$V$96)*(0.06)/(1-0.06)</f>
        <v>0</v>
      </c>
      <c r="AC96" s="52">
        <f>((SUBSIDIO!$L$96*SUBSIDIO!$W$96)+(SUBSIDIO!$N$96*SUBSIDIO!$X$96))*(0.06)/(1-0.06)</f>
        <v>11.386341</v>
      </c>
      <c r="AD96" s="52">
        <f>(SUBSIDIO!$J$96*SUBSIDIO!$Y$96)*(0.03)/(1-0.03)</f>
        <v>0</v>
      </c>
      <c r="AE96" s="52">
        <f ca="1">((SUBSIDIO!$L$96*SUBSIDIO!$Z$96)+(SUBSIDIO!$N$96*SUBSIDIO!$AA$96))*(0.03)/(1-0.03)</f>
        <v>4.942394201513773</v>
      </c>
      <c r="AF96" s="4" t="s">
        <v>572</v>
      </c>
    </row>
    <row r="97" spans="1:32" ht="11.25" customHeight="1" x14ac:dyDescent="0.3">
      <c r="A97" s="4" t="s">
        <v>21</v>
      </c>
      <c r="B97" s="4" t="s">
        <v>31</v>
      </c>
      <c r="C97" s="4" t="s">
        <v>23</v>
      </c>
      <c r="D97" s="4" t="s">
        <v>46</v>
      </c>
      <c r="E97" s="4" t="s">
        <v>47</v>
      </c>
      <c r="F97" s="4" t="s">
        <v>25</v>
      </c>
      <c r="G97" s="4" t="s">
        <v>25</v>
      </c>
      <c r="H97" s="4" t="s">
        <v>25</v>
      </c>
      <c r="I97" s="5">
        <v>44682</v>
      </c>
      <c r="J97" s="6">
        <v>0</v>
      </c>
      <c r="K97" s="52">
        <v>0</v>
      </c>
      <c r="L97" s="6">
        <v>0.31900000000000001</v>
      </c>
      <c r="M97" s="52">
        <v>0.31900000000000001</v>
      </c>
      <c r="N97" s="6">
        <v>0.31900000000000001</v>
      </c>
      <c r="O97" s="52">
        <v>0.31900000000000001</v>
      </c>
      <c r="P97" s="6">
        <v>2</v>
      </c>
      <c r="Q97" s="4" t="s">
        <v>26</v>
      </c>
      <c r="R97" s="4">
        <v>0</v>
      </c>
      <c r="S97" s="4">
        <v>0</v>
      </c>
      <c r="T97" s="4">
        <v>32</v>
      </c>
      <c r="U97" s="4">
        <v>55</v>
      </c>
      <c r="V97" s="52">
        <f>IF(ISERROR(VLOOKUP($S$97,'TAR FIN'!$A$1:$O$85,15,0)),0,VLOOKUP($S$97,'TAR FIN'!$A$1:$O$85,15,0))</f>
        <v>0</v>
      </c>
      <c r="W97" s="52">
        <f>IF(ISERROR(VLOOKUP($T$97,'TAR FIN'!$A$1:$O$85,15,0)),0,VLOOKUP($T$97,'TAR FIN'!$A$1:$O$85,15,0))*(1-0.06)</f>
        <v>285.43099999999998</v>
      </c>
      <c r="X97" s="52">
        <f>IF(ISERROR(VLOOKUP($U$97,'TAR FIN'!$A$1:$O$85,15,0)),0,VLOOKUP($U$97,'TAR FIN'!$A$1:$O$85,15,0))*(1-0.06)</f>
        <v>291.87</v>
      </c>
      <c r="Y97" s="52"/>
      <c r="Z97" s="52">
        <f ca="1">('TUSD BE'!$AM$48+'TUSD BF'!$AM$48+'TUSD CVA'!$AM$48)*1*(1-0.03)</f>
        <v>302.02696248461632</v>
      </c>
      <c r="AA97" s="52">
        <f>('TE BE'!$AB$38+'TE BF'!$AB$38+'TE CVA'!$AB$38)*1*(1-0.03)</f>
        <v>215.13834231240199</v>
      </c>
      <c r="AB97" s="52">
        <f>(SUBSIDIO!$J$97*SUBSIDIO!$V$97)*(0.06)/(1-0.06)</f>
        <v>0</v>
      </c>
      <c r="AC97" s="52">
        <f>((SUBSIDIO!$L$97*SUBSIDIO!$W$97)+(SUBSIDIO!$N$97*SUBSIDIO!$X$97))*(0.06)/(1-0.06)</f>
        <v>11.754830999999999</v>
      </c>
      <c r="AD97" s="52">
        <f>(SUBSIDIO!$J$97*SUBSIDIO!$Y$97)*(0.03)/(1-0.03)</f>
        <v>0</v>
      </c>
      <c r="AE97" s="52">
        <f ca="1">((SUBSIDIO!$L$97*SUBSIDIO!$Z$97)+(SUBSIDIO!$N$97*SUBSIDIO!$AA$97))*(0.03)/(1-0.03)</f>
        <v>5.1023422339252216</v>
      </c>
      <c r="AF97" s="4" t="s">
        <v>572</v>
      </c>
    </row>
    <row r="98" spans="1:32" ht="11.25" customHeight="1" x14ac:dyDescent="0.3">
      <c r="A98" s="4" t="s">
        <v>21</v>
      </c>
      <c r="B98" s="4" t="s">
        <v>31</v>
      </c>
      <c r="C98" s="4" t="s">
        <v>23</v>
      </c>
      <c r="D98" s="4" t="s">
        <v>46</v>
      </c>
      <c r="E98" s="4" t="s">
        <v>47</v>
      </c>
      <c r="F98" s="4" t="s">
        <v>25</v>
      </c>
      <c r="G98" s="4" t="s">
        <v>25</v>
      </c>
      <c r="H98" s="4" t="s">
        <v>25</v>
      </c>
      <c r="I98" s="5">
        <v>44713</v>
      </c>
      <c r="J98" s="6">
        <v>0</v>
      </c>
      <c r="K98" s="52">
        <v>0</v>
      </c>
      <c r="L98" s="6">
        <v>0.32600000000000001</v>
      </c>
      <c r="M98" s="52">
        <v>0.32600000000000001</v>
      </c>
      <c r="N98" s="6">
        <v>0.32600000000000001</v>
      </c>
      <c r="O98" s="52">
        <v>0.32600000000000001</v>
      </c>
      <c r="P98" s="6">
        <v>2</v>
      </c>
      <c r="Q98" s="4" t="s">
        <v>26</v>
      </c>
      <c r="R98" s="4">
        <v>0</v>
      </c>
      <c r="S98" s="4">
        <v>0</v>
      </c>
      <c r="T98" s="4">
        <v>32</v>
      </c>
      <c r="U98" s="4">
        <v>55</v>
      </c>
      <c r="V98" s="52">
        <f>IF(ISERROR(VLOOKUP($S$98,'TAR FIN'!$A$1:$O$85,15,0)),0,VLOOKUP($S$98,'TAR FIN'!$A$1:$O$85,15,0))</f>
        <v>0</v>
      </c>
      <c r="W98" s="52">
        <f>IF(ISERROR(VLOOKUP($T$98,'TAR FIN'!$A$1:$O$85,15,0)),0,VLOOKUP($T$98,'TAR FIN'!$A$1:$O$85,15,0))*(1-0.06)</f>
        <v>285.43099999999998</v>
      </c>
      <c r="X98" s="52">
        <f>IF(ISERROR(VLOOKUP($U$98,'TAR FIN'!$A$1:$O$85,15,0)),0,VLOOKUP($U$98,'TAR FIN'!$A$1:$O$85,15,0))*(1-0.06)</f>
        <v>291.87</v>
      </c>
      <c r="Y98" s="52"/>
      <c r="Z98" s="52">
        <f ca="1">('TUSD BE'!$AM$48+'TUSD BF'!$AM$48+'TUSD CVA'!$AM$48)*1*(1-0.03)</f>
        <v>302.02696248461632</v>
      </c>
      <c r="AA98" s="52">
        <f>('TE BE'!$AB$38+'TE BF'!$AB$38+'TE CVA'!$AB$38)*1*(1-0.03)</f>
        <v>215.13834231240199</v>
      </c>
      <c r="AB98" s="52">
        <f>(SUBSIDIO!$J$98*SUBSIDIO!$V$98)*(0.06)/(1-0.06)</f>
        <v>0</v>
      </c>
      <c r="AC98" s="52">
        <f>((SUBSIDIO!$L$98*SUBSIDIO!$W$98)+(SUBSIDIO!$N$98*SUBSIDIO!$X$98))*(0.06)/(1-0.06)</f>
        <v>12.012774</v>
      </c>
      <c r="AD98" s="52">
        <f>(SUBSIDIO!$J$98*SUBSIDIO!$Y$98)*(0.03)/(1-0.03)</f>
        <v>0</v>
      </c>
      <c r="AE98" s="52">
        <f ca="1">((SUBSIDIO!$L$98*SUBSIDIO!$Z$98)+(SUBSIDIO!$N$98*SUBSIDIO!$AA$98))*(0.03)/(1-0.03)</f>
        <v>5.2143058566132368</v>
      </c>
      <c r="AF98" s="4" t="s">
        <v>572</v>
      </c>
    </row>
    <row r="99" spans="1:32" ht="11.25" customHeight="1" x14ac:dyDescent="0.3">
      <c r="A99" s="4" t="s">
        <v>21</v>
      </c>
      <c r="B99" s="4" t="s">
        <v>31</v>
      </c>
      <c r="C99" s="4" t="s">
        <v>23</v>
      </c>
      <c r="D99" s="4" t="s">
        <v>46</v>
      </c>
      <c r="E99" s="4" t="s">
        <v>47</v>
      </c>
      <c r="F99" s="4" t="s">
        <v>25</v>
      </c>
      <c r="G99" s="4" t="s">
        <v>25</v>
      </c>
      <c r="H99" s="4" t="s">
        <v>25</v>
      </c>
      <c r="I99" s="5">
        <v>44743</v>
      </c>
      <c r="J99" s="6">
        <v>0</v>
      </c>
      <c r="K99" s="52">
        <v>0</v>
      </c>
      <c r="L99" s="6">
        <v>0.64200000000000002</v>
      </c>
      <c r="M99" s="52">
        <v>0.64200000000000002</v>
      </c>
      <c r="N99" s="6">
        <v>0.64200000000000002</v>
      </c>
      <c r="O99" s="52">
        <v>0.64200000000000002</v>
      </c>
      <c r="P99" s="6">
        <v>2</v>
      </c>
      <c r="Q99" s="4" t="s">
        <v>26</v>
      </c>
      <c r="R99" s="4">
        <v>0</v>
      </c>
      <c r="S99" s="4">
        <v>0</v>
      </c>
      <c r="T99" s="4">
        <v>32</v>
      </c>
      <c r="U99" s="4">
        <v>55</v>
      </c>
      <c r="V99" s="52">
        <f>IF(ISERROR(VLOOKUP($S$99,'TAR FIN'!$A$1:$O$85,15,0)),0,VLOOKUP($S$99,'TAR FIN'!$A$1:$O$85,15,0))</f>
        <v>0</v>
      </c>
      <c r="W99" s="52">
        <f>IF(ISERROR(VLOOKUP($T$99,'TAR FIN'!$A$1:$O$85,15,0)),0,VLOOKUP($T$99,'TAR FIN'!$A$1:$O$85,15,0))*(1-0.06)</f>
        <v>285.43099999999998</v>
      </c>
      <c r="X99" s="52">
        <f>IF(ISERROR(VLOOKUP($U$99,'TAR FIN'!$A$1:$O$85,15,0)),0,VLOOKUP($U$99,'TAR FIN'!$A$1:$O$85,15,0))*(1-0.06)</f>
        <v>291.87</v>
      </c>
      <c r="Y99" s="52"/>
      <c r="Z99" s="52">
        <f ca="1">('TUSD BE'!$AM$48+'TUSD BF'!$AM$48+'TUSD CVA'!$AM$48)*1*(1-0.03)</f>
        <v>302.02696248461632</v>
      </c>
      <c r="AA99" s="52">
        <f>('TE BE'!$AB$38+'TE BF'!$AB$38+'TE CVA'!$AB$38)*1*(1-0.03)</f>
        <v>215.13834231240199</v>
      </c>
      <c r="AB99" s="52">
        <f>(SUBSIDIO!$J$99*SUBSIDIO!$V$99)*(0.06)/(1-0.06)</f>
        <v>0</v>
      </c>
      <c r="AC99" s="52">
        <f>((SUBSIDIO!$L$99*SUBSIDIO!$W$99)+(SUBSIDIO!$N$99*SUBSIDIO!$X$99))*(0.06)/(1-0.06)</f>
        <v>23.657058000000003</v>
      </c>
      <c r="AD99" s="52">
        <f>(SUBSIDIO!$J$99*SUBSIDIO!$Y$99)*(0.03)/(1-0.03)</f>
        <v>0</v>
      </c>
      <c r="AE99" s="52">
        <f ca="1">((SUBSIDIO!$L$99*SUBSIDIO!$Z$99)+(SUBSIDIO!$N$99*SUBSIDIO!$AA$99))*(0.03)/(1-0.03)</f>
        <v>10.268663680815022</v>
      </c>
      <c r="AF99" s="4" t="s">
        <v>572</v>
      </c>
    </row>
    <row r="100" spans="1:32" ht="11.25" customHeight="1" x14ac:dyDescent="0.3">
      <c r="A100" s="4" t="s">
        <v>21</v>
      </c>
      <c r="B100" s="4" t="s">
        <v>31</v>
      </c>
      <c r="C100" s="4" t="s">
        <v>23</v>
      </c>
      <c r="D100" s="4" t="s">
        <v>46</v>
      </c>
      <c r="E100" s="4" t="s">
        <v>47</v>
      </c>
      <c r="F100" s="4" t="s">
        <v>25</v>
      </c>
      <c r="G100" s="4" t="s">
        <v>25</v>
      </c>
      <c r="H100" s="4" t="s">
        <v>25</v>
      </c>
      <c r="I100" s="5">
        <v>44774</v>
      </c>
      <c r="J100" s="6">
        <v>0</v>
      </c>
      <c r="K100" s="52">
        <v>0</v>
      </c>
      <c r="L100" s="6">
        <v>0.52200000000000002</v>
      </c>
      <c r="M100" s="52">
        <v>0.52200000000000002</v>
      </c>
      <c r="N100" s="6">
        <v>0.52200000000000002</v>
      </c>
      <c r="O100" s="52">
        <v>0.52200000000000002</v>
      </c>
      <c r="P100" s="6">
        <v>2</v>
      </c>
      <c r="Q100" s="4" t="s">
        <v>26</v>
      </c>
      <c r="R100" s="4">
        <v>0</v>
      </c>
      <c r="S100" s="4">
        <v>0</v>
      </c>
      <c r="T100" s="4">
        <v>32</v>
      </c>
      <c r="U100" s="4">
        <v>55</v>
      </c>
      <c r="V100" s="52">
        <f>IF(ISERROR(VLOOKUP($S$100,'TAR FIN'!$A$1:$O$85,15,0)),0,VLOOKUP($S$100,'TAR FIN'!$A$1:$O$85,15,0))</f>
        <v>0</v>
      </c>
      <c r="W100" s="52">
        <f>IF(ISERROR(VLOOKUP($T$100,'TAR FIN'!$A$1:$O$85,15,0)),0,VLOOKUP($T$100,'TAR FIN'!$A$1:$O$85,15,0))*(1-0.06)</f>
        <v>285.43099999999998</v>
      </c>
      <c r="X100" s="52">
        <f>IF(ISERROR(VLOOKUP($U$100,'TAR FIN'!$A$1:$O$85,15,0)),0,VLOOKUP($U$100,'TAR FIN'!$A$1:$O$85,15,0))*(1-0.06)</f>
        <v>291.87</v>
      </c>
      <c r="Y100" s="52"/>
      <c r="Z100" s="52">
        <f ca="1">('TUSD BE'!$AM$48+'TUSD BF'!$AM$48+'TUSD CVA'!$AM$48)*1*(1-0.03)</f>
        <v>302.02696248461632</v>
      </c>
      <c r="AA100" s="52">
        <f>('TE BE'!$AB$38+'TE BF'!$AB$38+'TE CVA'!$AB$38)*1*(1-0.03)</f>
        <v>215.13834231240199</v>
      </c>
      <c r="AB100" s="52">
        <f>(SUBSIDIO!$J$100*SUBSIDIO!$V$100)*(0.06)/(1-0.06)</f>
        <v>0</v>
      </c>
      <c r="AC100" s="52">
        <f>((SUBSIDIO!$L$100*SUBSIDIO!$W$100)+(SUBSIDIO!$N$100*SUBSIDIO!$X$100))*(0.06)/(1-0.06)</f>
        <v>19.235178000000005</v>
      </c>
      <c r="AD100" s="52">
        <f>(SUBSIDIO!$J$100*SUBSIDIO!$Y$100)*(0.03)/(1-0.03)</f>
        <v>0</v>
      </c>
      <c r="AE100" s="52">
        <f ca="1">((SUBSIDIO!$L$100*SUBSIDIO!$Z$100)+(SUBSIDIO!$N$100*SUBSIDIO!$AA$100))*(0.03)/(1-0.03)</f>
        <v>8.3492872918776353</v>
      </c>
      <c r="AF100" s="4" t="s">
        <v>572</v>
      </c>
    </row>
    <row r="101" spans="1:32" ht="11.25" customHeight="1" x14ac:dyDescent="0.3"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2" ht="11.25" customHeight="1" x14ac:dyDescent="0.3"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2" ht="11.25" customHeight="1" x14ac:dyDescent="0.3"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2" ht="11.25" customHeight="1" x14ac:dyDescent="0.3"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2" ht="11.25" customHeight="1" x14ac:dyDescent="0.3"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2" ht="11.25" customHeight="1" x14ac:dyDescent="0.3"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2" ht="11.25" customHeight="1" x14ac:dyDescent="0.3"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2" ht="11.25" customHeight="1" x14ac:dyDescent="0.3"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2" ht="11.25" customHeight="1" x14ac:dyDescent="0.3"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2" ht="11.25" customHeight="1" x14ac:dyDescent="0.3"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2" ht="11.25" customHeight="1" x14ac:dyDescent="0.3"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2" ht="11.25" customHeight="1" x14ac:dyDescent="0.3"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22:31" ht="11.25" customHeight="1" x14ac:dyDescent="0.3"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22:31" ht="11.25" customHeight="1" x14ac:dyDescent="0.3"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22:31" ht="11.25" customHeight="1" x14ac:dyDescent="0.3"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22:31" ht="11.25" customHeight="1" x14ac:dyDescent="0.3"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22:31" ht="11.25" customHeight="1" x14ac:dyDescent="0.3"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22:31" ht="11.25" customHeight="1" x14ac:dyDescent="0.3"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22:31" ht="11.25" customHeight="1" x14ac:dyDescent="0.3"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22:31" ht="11.25" customHeight="1" x14ac:dyDescent="0.3"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22:31" ht="11.25" customHeight="1" x14ac:dyDescent="0.3"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22:31" ht="11.25" customHeight="1" x14ac:dyDescent="0.3"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22:31" ht="11.25" customHeight="1" x14ac:dyDescent="0.3"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22:31" ht="11.25" customHeight="1" x14ac:dyDescent="0.3"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22:31" ht="11.25" customHeight="1" x14ac:dyDescent="0.3"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22:31" ht="11.25" customHeight="1" x14ac:dyDescent="0.3"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22:31" ht="11.25" customHeight="1" x14ac:dyDescent="0.3"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22:31" ht="11.25" customHeight="1" x14ac:dyDescent="0.3"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22:31" ht="11.25" customHeight="1" x14ac:dyDescent="0.3"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22:31" ht="11.25" customHeight="1" x14ac:dyDescent="0.3"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22:31" ht="11.25" customHeight="1" x14ac:dyDescent="0.3"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2:31" ht="11.25" customHeight="1" x14ac:dyDescent="0.3"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22:31" ht="11.25" customHeight="1" x14ac:dyDescent="0.3"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22:31" ht="11.25" customHeight="1" x14ac:dyDescent="0.3"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22:31" ht="11.25" customHeight="1" x14ac:dyDescent="0.3"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22:31" ht="11.25" customHeight="1" x14ac:dyDescent="0.3"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22:31" ht="11.25" customHeight="1" x14ac:dyDescent="0.3"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22:31" ht="11.25" customHeight="1" x14ac:dyDescent="0.3"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22:31" ht="11.25" customHeight="1" x14ac:dyDescent="0.3"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22:31" ht="11.25" customHeight="1" x14ac:dyDescent="0.3"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22:31" ht="11.25" customHeight="1" x14ac:dyDescent="0.3"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22:31" ht="11.25" customHeight="1" x14ac:dyDescent="0.3"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22:31" ht="11.25" customHeight="1" x14ac:dyDescent="0.3"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22:31" ht="11.25" customHeight="1" x14ac:dyDescent="0.3"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22:31" ht="11.25" customHeight="1" x14ac:dyDescent="0.3"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22:31" ht="11.25" customHeight="1" x14ac:dyDescent="0.3"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22:31" ht="11.25" customHeight="1" x14ac:dyDescent="0.3"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22:31" ht="11.25" customHeight="1" x14ac:dyDescent="0.3"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22:31" ht="11.25" customHeight="1" x14ac:dyDescent="0.3"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22:31" ht="11.25" customHeight="1" x14ac:dyDescent="0.3"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22:31" ht="11.25" customHeight="1" x14ac:dyDescent="0.3"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22:31" ht="11.25" customHeight="1" x14ac:dyDescent="0.3"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22:31" ht="11.25" customHeight="1" x14ac:dyDescent="0.3"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22:31" ht="11.25" customHeight="1" x14ac:dyDescent="0.3"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22:31" ht="11.25" customHeight="1" x14ac:dyDescent="0.3"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22:31" ht="11.25" customHeight="1" x14ac:dyDescent="0.3"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22:31" ht="11.25" customHeight="1" x14ac:dyDescent="0.3"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22:31" ht="11.25" customHeight="1" x14ac:dyDescent="0.3"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22:31" ht="11.25" customHeight="1" x14ac:dyDescent="0.3"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22:31" ht="11.25" customHeight="1" x14ac:dyDescent="0.3"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22:31" ht="11.25" customHeight="1" x14ac:dyDescent="0.3"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22:31" ht="11.25" customHeight="1" x14ac:dyDescent="0.3"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2:31" ht="11.25" customHeight="1" x14ac:dyDescent="0.3"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22:31" ht="11.25" customHeight="1" x14ac:dyDescent="0.3"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22:31" ht="11.25" customHeight="1" x14ac:dyDescent="0.3"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22:31" ht="11.25" customHeight="1" x14ac:dyDescent="0.3"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22:31" ht="11.25" customHeight="1" x14ac:dyDescent="0.3"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22:31" ht="11.25" customHeight="1" x14ac:dyDescent="0.3"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22:31" ht="11.25" customHeight="1" x14ac:dyDescent="0.3"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22:31" ht="11.25" customHeight="1" x14ac:dyDescent="0.3"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22:31" ht="11.25" customHeight="1" x14ac:dyDescent="0.3"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22:31" ht="11.25" customHeight="1" x14ac:dyDescent="0.3"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22:31" ht="11.25" customHeight="1" x14ac:dyDescent="0.3"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22:31" ht="11.25" customHeight="1" x14ac:dyDescent="0.3"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22:31" ht="11.25" customHeight="1" x14ac:dyDescent="0.3"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22:31" ht="11.25" customHeight="1" x14ac:dyDescent="0.3"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22:31" ht="11.25" customHeight="1" x14ac:dyDescent="0.3"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22:31" ht="11.25" customHeight="1" x14ac:dyDescent="0.3"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22:31" ht="11.25" customHeight="1" x14ac:dyDescent="0.3"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22:31" ht="11.25" customHeight="1" x14ac:dyDescent="0.3"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22:31" ht="11.25" customHeight="1" x14ac:dyDescent="0.3"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22:31" ht="11.25" customHeight="1" x14ac:dyDescent="0.3"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22:31" ht="11.25" customHeight="1" x14ac:dyDescent="0.3"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22:31" ht="11.25" customHeight="1" x14ac:dyDescent="0.3"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22:31" ht="11.25" customHeight="1" x14ac:dyDescent="0.3"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22:31" ht="11.25" customHeight="1" x14ac:dyDescent="0.3"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22:31" ht="11.25" customHeight="1" x14ac:dyDescent="0.3"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22:31" ht="11.25" customHeight="1" x14ac:dyDescent="0.3"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22:31" ht="11.25" customHeight="1" x14ac:dyDescent="0.3"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22:31" ht="11.25" customHeight="1" x14ac:dyDescent="0.3"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22:31" ht="11.25" customHeight="1" x14ac:dyDescent="0.3"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22:31" ht="11.25" customHeight="1" x14ac:dyDescent="0.3"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22:31" ht="11.25" customHeight="1" x14ac:dyDescent="0.3"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22:31" ht="11.25" customHeight="1" x14ac:dyDescent="0.3"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22:31" ht="11.25" customHeight="1" x14ac:dyDescent="0.3"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22:31" ht="11.25" customHeight="1" x14ac:dyDescent="0.3"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22:31" ht="11.25" customHeight="1" x14ac:dyDescent="0.3"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22:31" ht="11.25" customHeight="1" x14ac:dyDescent="0.3"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22:31" ht="11.25" customHeight="1" x14ac:dyDescent="0.3"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22:31" ht="11.25" customHeight="1" x14ac:dyDescent="0.3"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22:31" ht="11.25" customHeight="1" x14ac:dyDescent="0.3"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22:31" ht="11.25" customHeight="1" x14ac:dyDescent="0.3"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22:31" ht="11.25" customHeight="1" x14ac:dyDescent="0.3"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22:31" ht="11.25" customHeight="1" x14ac:dyDescent="0.3"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22:31" ht="11.25" customHeight="1" x14ac:dyDescent="0.3"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22:31" ht="11.25" customHeight="1" x14ac:dyDescent="0.3"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22:31" ht="11.25" customHeight="1" x14ac:dyDescent="0.3"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22:31" ht="11.25" customHeight="1" x14ac:dyDescent="0.3"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22:31" ht="11.25" customHeight="1" x14ac:dyDescent="0.3"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22:31" ht="11.25" customHeight="1" x14ac:dyDescent="0.3"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22:31" ht="11.25" customHeight="1" x14ac:dyDescent="0.3"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22:31" ht="11.25" customHeight="1" x14ac:dyDescent="0.3"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22:31" ht="11.25" customHeight="1" x14ac:dyDescent="0.3"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22:31" ht="11.25" customHeight="1" x14ac:dyDescent="0.3"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22:31" ht="11.25" customHeight="1" x14ac:dyDescent="0.3"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22:31" ht="11.25" customHeight="1" x14ac:dyDescent="0.3"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22:31" ht="11.25" customHeight="1" x14ac:dyDescent="0.3"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22:31" ht="11.25" customHeight="1" x14ac:dyDescent="0.3"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22:31" ht="11.25" customHeight="1" x14ac:dyDescent="0.3"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22:31" ht="11.25" customHeight="1" x14ac:dyDescent="0.3"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22:31" ht="11.25" customHeight="1" x14ac:dyDescent="0.3"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22:31" ht="11.25" customHeight="1" x14ac:dyDescent="0.3"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22:31" ht="11.25" customHeight="1" x14ac:dyDescent="0.3"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22:31" ht="11.25" customHeight="1" x14ac:dyDescent="0.3"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22:31" ht="11.25" customHeight="1" x14ac:dyDescent="0.3"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22:31" ht="11.25" customHeight="1" x14ac:dyDescent="0.3"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F6D4-04CF-4CF9-8BE1-77459F560475}">
  <dimension ref="A1:J289"/>
  <sheetViews>
    <sheetView showGridLines="0" workbookViewId="0"/>
  </sheetViews>
  <sheetFormatPr defaultRowHeight="11.25" customHeight="1" x14ac:dyDescent="0.2"/>
  <cols>
    <col min="1" max="1" width="32.33203125" style="14" bestFit="1" customWidth="1"/>
    <col min="2" max="2" width="23.21875" style="39" bestFit="1" customWidth="1"/>
    <col min="3" max="3" width="24.21875" style="39" bestFit="1" customWidth="1"/>
    <col min="4" max="4" width="24.44140625" style="39" bestFit="1" customWidth="1"/>
    <col min="5" max="5" width="25.5546875" style="39" bestFit="1" customWidth="1"/>
    <col min="6" max="6" width="22.44140625" style="39" bestFit="1" customWidth="1"/>
    <col min="7" max="7" width="23.44140625" style="39" bestFit="1" customWidth="1"/>
    <col min="8" max="8" width="17.109375" style="40" bestFit="1" customWidth="1"/>
    <col min="9" max="9" width="15" style="40" bestFit="1" customWidth="1"/>
    <col min="10" max="10" width="12.6640625" style="40" bestFit="1" customWidth="1"/>
    <col min="11" max="16384" width="8.88671875" style="14"/>
  </cols>
  <sheetData>
    <row r="1" spans="1:10" ht="11.25" customHeight="1" x14ac:dyDescent="0.2">
      <c r="A1" s="38" t="s">
        <v>554</v>
      </c>
      <c r="B1" s="39" t="s">
        <v>555</v>
      </c>
      <c r="C1" s="39" t="s">
        <v>556</v>
      </c>
      <c r="D1" s="39" t="s">
        <v>557</v>
      </c>
      <c r="E1" s="39" t="s">
        <v>558</v>
      </c>
      <c r="F1" s="39" t="s">
        <v>559</v>
      </c>
      <c r="G1" s="39" t="s">
        <v>560</v>
      </c>
      <c r="H1" s="40" t="s">
        <v>561</v>
      </c>
      <c r="I1" s="40" t="s">
        <v>562</v>
      </c>
      <c r="J1" s="40" t="s">
        <v>563</v>
      </c>
    </row>
    <row r="2" spans="1:10" ht="11.25" customHeight="1" x14ac:dyDescent="0.2">
      <c r="A2" s="41" t="s">
        <v>26</v>
      </c>
      <c r="B2" s="39">
        <v>1281438.5999999999</v>
      </c>
      <c r="C2" s="39">
        <v>1275466.7281072591</v>
      </c>
      <c r="D2" s="39">
        <v>3461376.4347489993</v>
      </c>
      <c r="E2" s="39">
        <v>3686027.7038549753</v>
      </c>
      <c r="F2" s="39">
        <v>5342553.9943479979</v>
      </c>
      <c r="G2" s="39">
        <v>3892513.4748348505</v>
      </c>
      <c r="H2" s="40">
        <v>4.6107511174490856E-2</v>
      </c>
      <c r="I2" s="40">
        <v>-0.27141335792715882</v>
      </c>
      <c r="J2" s="40">
        <v>-0.1220938092346795</v>
      </c>
    </row>
    <row r="3" spans="1:10" ht="11.25" customHeight="1" x14ac:dyDescent="0.2">
      <c r="A3" s="42" t="s">
        <v>33</v>
      </c>
      <c r="B3" s="39">
        <v>1281438.5999999999</v>
      </c>
      <c r="C3" s="39">
        <v>1275466.7281072591</v>
      </c>
      <c r="D3" s="39">
        <v>1655943.8383200003</v>
      </c>
      <c r="E3" s="39">
        <v>1744656.0247361148</v>
      </c>
      <c r="F3" s="39">
        <v>3495488.2155000009</v>
      </c>
      <c r="G3" s="39">
        <v>2496849.2463276926</v>
      </c>
      <c r="H3" s="40">
        <v>2.8168042895597933E-2</v>
      </c>
      <c r="I3" s="40">
        <v>-0.28569370216842827</v>
      </c>
      <c r="J3" s="40">
        <v>-0.14237790621595192</v>
      </c>
    </row>
    <row r="4" spans="1:10" ht="11.25" customHeight="1" x14ac:dyDescent="0.2">
      <c r="A4" s="43" t="s">
        <v>34</v>
      </c>
      <c r="B4" s="39">
        <v>595987.07999999996</v>
      </c>
      <c r="C4" s="39">
        <v>591489.2464813455</v>
      </c>
      <c r="D4" s="39">
        <v>248303.78143999999</v>
      </c>
      <c r="E4" s="39">
        <v>273693.233611957</v>
      </c>
      <c r="F4" s="39">
        <v>929567.44799999997</v>
      </c>
      <c r="G4" s="39">
        <v>663995.88236562221</v>
      </c>
      <c r="H4" s="40">
        <v>2.4744575130980717E-2</v>
      </c>
      <c r="I4" s="40">
        <v>-0.28569370216842804</v>
      </c>
      <c r="J4" s="40">
        <v>-0.13793657908241819</v>
      </c>
    </row>
    <row r="5" spans="1:10" ht="11.25" customHeight="1" x14ac:dyDescent="0.2">
      <c r="A5" s="44" t="s">
        <v>32</v>
      </c>
      <c r="B5" s="39">
        <v>595987.07999999996</v>
      </c>
      <c r="C5" s="39">
        <v>591489.2464813455</v>
      </c>
      <c r="D5" s="39">
        <v>248303.78143999999</v>
      </c>
      <c r="E5" s="39">
        <v>273693.233611957</v>
      </c>
      <c r="F5" s="39">
        <v>929567.44799999997</v>
      </c>
      <c r="G5" s="39">
        <v>663995.88236562221</v>
      </c>
      <c r="H5" s="40">
        <v>2.4744575130980717E-2</v>
      </c>
      <c r="I5" s="40">
        <v>-0.28569370216842804</v>
      </c>
      <c r="J5" s="40">
        <v>-0.13793657908241819</v>
      </c>
    </row>
    <row r="6" spans="1:10" ht="11.25" customHeight="1" x14ac:dyDescent="0.2">
      <c r="A6" s="45" t="s">
        <v>25</v>
      </c>
      <c r="B6" s="39">
        <v>595987.07999999996</v>
      </c>
      <c r="C6" s="39">
        <v>591489.2464813455</v>
      </c>
      <c r="D6" s="39">
        <v>248303.78143999999</v>
      </c>
      <c r="E6" s="39">
        <v>273693.233611957</v>
      </c>
      <c r="F6" s="39">
        <v>929567.44799999997</v>
      </c>
      <c r="G6" s="39">
        <v>663995.88236562221</v>
      </c>
      <c r="H6" s="40">
        <v>2.4744575130980717E-2</v>
      </c>
      <c r="I6" s="40">
        <v>-0.28569370216842804</v>
      </c>
      <c r="J6" s="40">
        <v>-0.13793657908241819</v>
      </c>
    </row>
    <row r="7" spans="1:10" ht="11.25" customHeight="1" x14ac:dyDescent="0.2">
      <c r="A7" s="46" t="s">
        <v>25</v>
      </c>
      <c r="B7" s="39">
        <v>595987.07999999996</v>
      </c>
      <c r="C7" s="39">
        <v>591489.2464813455</v>
      </c>
      <c r="D7" s="39">
        <v>248303.78143999999</v>
      </c>
      <c r="E7" s="39">
        <v>273693.233611957</v>
      </c>
      <c r="F7" s="39">
        <v>929567.44799999997</v>
      </c>
      <c r="G7" s="39">
        <v>663995.88236562221</v>
      </c>
      <c r="H7" s="40">
        <v>2.4744575130980717E-2</v>
      </c>
      <c r="I7" s="40">
        <v>-0.28569370216842804</v>
      </c>
      <c r="J7" s="40">
        <v>-0.13793657908241819</v>
      </c>
    </row>
    <row r="8" spans="1:10" ht="11.25" customHeight="1" x14ac:dyDescent="0.2">
      <c r="A8" s="47" t="s">
        <v>25</v>
      </c>
      <c r="B8" s="39">
        <v>595987.07999999996</v>
      </c>
      <c r="C8" s="39">
        <v>591489.2464813455</v>
      </c>
      <c r="D8" s="39">
        <v>248303.78143999999</v>
      </c>
      <c r="E8" s="39">
        <v>273693.233611957</v>
      </c>
      <c r="F8" s="39">
        <v>929567.44799999997</v>
      </c>
      <c r="G8" s="39">
        <v>663995.88236562221</v>
      </c>
      <c r="H8" s="40">
        <v>2.4744575130980717E-2</v>
      </c>
      <c r="I8" s="40">
        <v>-0.28569370216842804</v>
      </c>
      <c r="J8" s="40">
        <v>-0.13793657908241819</v>
      </c>
    </row>
    <row r="9" spans="1:10" ht="11.25" customHeight="1" x14ac:dyDescent="0.2">
      <c r="A9" s="48" t="s">
        <v>36</v>
      </c>
      <c r="B9" s="39">
        <v>155900.16</v>
      </c>
      <c r="C9" s="39">
        <v>155564.90241917767</v>
      </c>
      <c r="D9" s="39">
        <v>218767.76921999999</v>
      </c>
      <c r="E9" s="39">
        <v>241137.11768970537</v>
      </c>
      <c r="F9" s="39">
        <v>818994.3615</v>
      </c>
      <c r="G9" s="39">
        <v>585012.83030799706</v>
      </c>
      <c r="H9" s="40">
        <v>5.8809652949892488E-2</v>
      </c>
      <c r="I9" s="40">
        <v>-0.28569370216842804</v>
      </c>
      <c r="J9" s="40">
        <v>-0.17756064001592631</v>
      </c>
    </row>
    <row r="10" spans="1:10" ht="11.25" customHeight="1" x14ac:dyDescent="0.2">
      <c r="A10" s="49">
        <v>44440</v>
      </c>
      <c r="B10" s="39">
        <v>11400.48</v>
      </c>
      <c r="C10" s="39">
        <v>11375.963685552257</v>
      </c>
      <c r="D10" s="39">
        <v>17102.808580000001</v>
      </c>
      <c r="E10" s="39">
        <v>18851.59765574339</v>
      </c>
      <c r="F10" s="39">
        <v>64027.273499999996</v>
      </c>
      <c r="G10" s="39">
        <v>45735.084694034515</v>
      </c>
      <c r="H10" s="40">
        <v>6.0493818334545368E-2</v>
      </c>
      <c r="I10" s="40">
        <v>-0.28569370216842804</v>
      </c>
      <c r="J10" s="40">
        <v>-0.1790534464747503</v>
      </c>
    </row>
    <row r="11" spans="1:10" ht="11.25" customHeight="1" x14ac:dyDescent="0.2">
      <c r="A11" s="49">
        <v>44470</v>
      </c>
      <c r="B11" s="39">
        <v>11737.439999999999</v>
      </c>
      <c r="C11" s="39">
        <v>11712.199065420797</v>
      </c>
      <c r="D11" s="39">
        <v>16627.313559999999</v>
      </c>
      <c r="E11" s="39">
        <v>18327.482522113703</v>
      </c>
      <c r="F11" s="39">
        <v>62247.176999999996</v>
      </c>
      <c r="G11" s="39">
        <v>44463.550553336572</v>
      </c>
      <c r="H11" s="40">
        <v>5.9049623822450048E-2</v>
      </c>
      <c r="I11" s="40">
        <v>-0.28569370216842804</v>
      </c>
      <c r="J11" s="40">
        <v>-0.17777679296284632</v>
      </c>
    </row>
    <row r="12" spans="1:10" ht="11.25" customHeight="1" x14ac:dyDescent="0.2">
      <c r="A12" s="49">
        <v>44501</v>
      </c>
      <c r="B12" s="39">
        <v>11437.92</v>
      </c>
      <c r="C12" s="39">
        <v>11413.323172204317</v>
      </c>
      <c r="D12" s="39">
        <v>16925.068159999999</v>
      </c>
      <c r="E12" s="39">
        <v>18655.682998257183</v>
      </c>
      <c r="F12" s="39">
        <v>63361.871999999996</v>
      </c>
      <c r="G12" s="39">
        <v>45259.78421199794</v>
      </c>
      <c r="H12" s="40">
        <v>6.0149445496983089E-2</v>
      </c>
      <c r="I12" s="40">
        <v>-0.28569370216842804</v>
      </c>
      <c r="J12" s="40">
        <v>-0.17875273670562286</v>
      </c>
    </row>
    <row r="13" spans="1:10" ht="11.25" customHeight="1" x14ac:dyDescent="0.2">
      <c r="A13" s="49">
        <v>44531</v>
      </c>
      <c r="B13" s="39">
        <v>14021.279999999999</v>
      </c>
      <c r="C13" s="39">
        <v>13991.127751196454</v>
      </c>
      <c r="D13" s="39">
        <v>19002.300459999999</v>
      </c>
      <c r="E13" s="39">
        <v>20945.315567898822</v>
      </c>
      <c r="F13" s="39">
        <v>71138.344500000007</v>
      </c>
      <c r="G13" s="39">
        <v>50814.567493661969</v>
      </c>
      <c r="H13" s="40">
        <v>5.7924150938516439E-2</v>
      </c>
      <c r="I13" s="40">
        <v>-0.28569370216842815</v>
      </c>
      <c r="J13" s="40">
        <v>-0.17675282166984596</v>
      </c>
    </row>
    <row r="14" spans="1:10" ht="11.25" customHeight="1" x14ac:dyDescent="0.2">
      <c r="A14" s="49">
        <v>44562</v>
      </c>
      <c r="B14" s="39">
        <v>13384.8</v>
      </c>
      <c r="C14" s="39">
        <v>13356.016478111434</v>
      </c>
      <c r="D14" s="39">
        <v>19525.320099999997</v>
      </c>
      <c r="E14" s="39">
        <v>21521.814788667842</v>
      </c>
      <c r="F14" s="39">
        <v>73096.357499999998</v>
      </c>
      <c r="G14" s="39">
        <v>52213.188510798056</v>
      </c>
      <c r="H14" s="40">
        <v>5.9790458400037272E-2</v>
      </c>
      <c r="I14" s="40">
        <v>-0.28569370216842804</v>
      </c>
      <c r="J14" s="40">
        <v>-0.17843681113334775</v>
      </c>
    </row>
    <row r="15" spans="1:10" ht="11.25" customHeight="1" x14ac:dyDescent="0.2">
      <c r="A15" s="49">
        <v>44593</v>
      </c>
      <c r="B15" s="39">
        <v>13384.8</v>
      </c>
      <c r="C15" s="39">
        <v>13356.016478111434</v>
      </c>
      <c r="D15" s="39">
        <v>15061.489299999999</v>
      </c>
      <c r="E15" s="39">
        <v>16601.550268878946</v>
      </c>
      <c r="F15" s="39">
        <v>56385.247499999998</v>
      </c>
      <c r="G15" s="39">
        <v>40276.337394041897</v>
      </c>
      <c r="H15" s="40">
        <v>5.3127401997925316E-2</v>
      </c>
      <c r="I15" s="40">
        <v>-0.28569370216842804</v>
      </c>
      <c r="J15" s="40">
        <v>-0.1720778994418467</v>
      </c>
    </row>
    <row r="16" spans="1:10" ht="11.25" customHeight="1" x14ac:dyDescent="0.2">
      <c r="A16" s="49">
        <v>44621</v>
      </c>
      <c r="B16" s="39">
        <v>13609.439999999999</v>
      </c>
      <c r="C16" s="39">
        <v>13580.173398023795</v>
      </c>
      <c r="D16" s="39">
        <v>20819.76468</v>
      </c>
      <c r="E16" s="39">
        <v>22948.61836281027</v>
      </c>
      <c r="F16" s="39">
        <v>77942.330999999991</v>
      </c>
      <c r="G16" s="39">
        <v>55674.697900972962</v>
      </c>
      <c r="H16" s="40">
        <v>6.0982735452315806E-2</v>
      </c>
      <c r="I16" s="40">
        <v>-0.28569370216842793</v>
      </c>
      <c r="J16" s="40">
        <v>-0.17947646524672789</v>
      </c>
    </row>
    <row r="17" spans="1:10" ht="11.25" customHeight="1" x14ac:dyDescent="0.2">
      <c r="A17" s="49">
        <v>44652</v>
      </c>
      <c r="B17" s="39">
        <v>13384.8</v>
      </c>
      <c r="C17" s="39">
        <v>13356.016478111434</v>
      </c>
      <c r="D17" s="39">
        <v>19116.177079999998</v>
      </c>
      <c r="E17" s="39">
        <v>21070.836251393252</v>
      </c>
      <c r="F17" s="39">
        <v>71564.660999999993</v>
      </c>
      <c r="G17" s="39">
        <v>51119.088054481479</v>
      </c>
      <c r="H17" s="40">
        <v>5.9255930822147862E-2</v>
      </c>
      <c r="I17" s="40">
        <v>-0.28569370216842804</v>
      </c>
      <c r="J17" s="40">
        <v>-0.17796169453914157</v>
      </c>
    </row>
    <row r="18" spans="1:10" ht="11.25" customHeight="1" x14ac:dyDescent="0.2">
      <c r="A18" s="49">
        <v>44682</v>
      </c>
      <c r="B18" s="39">
        <v>13384.8</v>
      </c>
      <c r="C18" s="39">
        <v>13356.016478111434</v>
      </c>
      <c r="D18" s="39">
        <v>19942.674179999998</v>
      </c>
      <c r="E18" s="39">
        <v>21981.843979741381</v>
      </c>
      <c r="F18" s="39">
        <v>74658.7935</v>
      </c>
      <c r="G18" s="39">
        <v>53329.246385556828</v>
      </c>
      <c r="H18" s="40">
        <v>6.0322191444657003E-2</v>
      </c>
      <c r="I18" s="40">
        <v>-0.28569370216842804</v>
      </c>
      <c r="J18" s="40">
        <v>-0.17890386668274871</v>
      </c>
    </row>
    <row r="19" spans="1:10" ht="11.25" customHeight="1" x14ac:dyDescent="0.2">
      <c r="A19" s="49">
        <v>44713</v>
      </c>
      <c r="B19" s="39">
        <v>13384.8</v>
      </c>
      <c r="C19" s="39">
        <v>13356.016478111434</v>
      </c>
      <c r="D19" s="39">
        <v>18591.664519999998</v>
      </c>
      <c r="E19" s="39">
        <v>20492.691457206238</v>
      </c>
      <c r="F19" s="39">
        <v>69601.058999999994</v>
      </c>
      <c r="G19" s="39">
        <v>49716.474779446806</v>
      </c>
      <c r="H19" s="40">
        <v>5.855066979486323E-2</v>
      </c>
      <c r="I19" s="40">
        <v>-0.28569370216842804</v>
      </c>
      <c r="J19" s="40">
        <v>-0.1773260479390304</v>
      </c>
    </row>
    <row r="20" spans="1:10" ht="11.25" customHeight="1" x14ac:dyDescent="0.2">
      <c r="A20" s="49">
        <v>44743</v>
      </c>
      <c r="B20" s="39">
        <v>13384.8</v>
      </c>
      <c r="C20" s="39">
        <v>13356.016478111434</v>
      </c>
      <c r="D20" s="39">
        <v>18243.31652</v>
      </c>
      <c r="E20" s="39">
        <v>20108.724326341999</v>
      </c>
      <c r="F20" s="39">
        <v>68296.959000000003</v>
      </c>
      <c r="G20" s="39">
        <v>48784.94793644466</v>
      </c>
      <c r="H20" s="40">
        <v>5.8069353680673563E-2</v>
      </c>
      <c r="I20" s="40">
        <v>-0.28569370216842804</v>
      </c>
      <c r="J20" s="40">
        <v>-0.17688639900566472</v>
      </c>
    </row>
    <row r="21" spans="1:10" ht="11.25" customHeight="1" x14ac:dyDescent="0.2">
      <c r="A21" s="49">
        <v>44774</v>
      </c>
      <c r="B21" s="39">
        <v>13384.8</v>
      </c>
      <c r="C21" s="39">
        <v>13356.016478111434</v>
      </c>
      <c r="D21" s="39">
        <v>17809.872080000001</v>
      </c>
      <c r="E21" s="39">
        <v>19630.959510652352</v>
      </c>
      <c r="F21" s="39">
        <v>66674.285999999993</v>
      </c>
      <c r="G21" s="39">
        <v>47625.862393223404</v>
      </c>
      <c r="H21" s="40">
        <v>5.7455449577009432E-2</v>
      </c>
      <c r="I21" s="40">
        <v>-0.28569370216842804</v>
      </c>
      <c r="J21" s="40">
        <v>-0.17631862070001114</v>
      </c>
    </row>
    <row r="22" spans="1:10" ht="11.25" customHeight="1" x14ac:dyDescent="0.2">
      <c r="A22" s="48" t="s">
        <v>35</v>
      </c>
      <c r="B22" s="39">
        <v>440086.9200000001</v>
      </c>
      <c r="C22" s="39">
        <v>435924.3440621678</v>
      </c>
      <c r="D22" s="39">
        <v>29536.012220000001</v>
      </c>
      <c r="E22" s="39">
        <v>32556.115922251651</v>
      </c>
      <c r="F22" s="39">
        <v>110573.08649999999</v>
      </c>
      <c r="G22" s="39">
        <v>78983.052057625173</v>
      </c>
      <c r="H22" s="40">
        <v>-2.4327437124501694E-3</v>
      </c>
      <c r="I22" s="40">
        <v>-0.28569370216842793</v>
      </c>
      <c r="J22" s="40">
        <v>-5.6416289705276235E-2</v>
      </c>
    </row>
    <row r="23" spans="1:10" ht="11.25" customHeight="1" x14ac:dyDescent="0.2">
      <c r="A23" s="49">
        <v>44440</v>
      </c>
      <c r="B23" s="39">
        <v>31018.399999999998</v>
      </c>
      <c r="C23" s="39">
        <v>30725.011490589044</v>
      </c>
      <c r="D23" s="39">
        <v>1977.8701800000001</v>
      </c>
      <c r="E23" s="39">
        <v>2180.1105165998856</v>
      </c>
      <c r="F23" s="39">
        <v>7404.4935000000005</v>
      </c>
      <c r="G23" s="39">
        <v>5289.0763393029383</v>
      </c>
      <c r="H23" s="40">
        <v>-2.7623780601212511E-3</v>
      </c>
      <c r="I23" s="40">
        <v>-0.28569370216842815</v>
      </c>
      <c r="J23" s="40">
        <v>-5.4616921377663608E-2</v>
      </c>
    </row>
    <row r="24" spans="1:10" ht="11.25" customHeight="1" x14ac:dyDescent="0.2">
      <c r="A24" s="49">
        <v>44470</v>
      </c>
      <c r="B24" s="39">
        <v>31018.399999999998</v>
      </c>
      <c r="C24" s="39">
        <v>30725.011490589044</v>
      </c>
      <c r="D24" s="39">
        <v>1978.2019399999999</v>
      </c>
      <c r="E24" s="39">
        <v>2180.4761995816611</v>
      </c>
      <c r="F24" s="39">
        <v>7405.7354999999998</v>
      </c>
      <c r="G24" s="39">
        <v>5289.9635077248449</v>
      </c>
      <c r="H24" s="40">
        <v>-2.7613222111469993E-3</v>
      </c>
      <c r="I24" s="40">
        <v>-0.28569370216842804</v>
      </c>
      <c r="J24" s="40">
        <v>-5.4622736750858047E-2</v>
      </c>
    </row>
    <row r="25" spans="1:10" ht="11.25" customHeight="1" x14ac:dyDescent="0.2">
      <c r="A25" s="49">
        <v>44501</v>
      </c>
      <c r="B25" s="39">
        <v>32355.399999999998</v>
      </c>
      <c r="C25" s="39">
        <v>32049.365434148916</v>
      </c>
      <c r="D25" s="39">
        <v>2113.3112000000001</v>
      </c>
      <c r="E25" s="39">
        <v>2329.4005939097196</v>
      </c>
      <c r="F25" s="39">
        <v>7911.54</v>
      </c>
      <c r="G25" s="39">
        <v>5651.2628475463944</v>
      </c>
      <c r="H25" s="40">
        <v>-2.6094730208933159E-3</v>
      </c>
      <c r="I25" s="40">
        <v>-0.28569370216842804</v>
      </c>
      <c r="J25" s="40">
        <v>-5.545560155610807E-2</v>
      </c>
    </row>
    <row r="26" spans="1:10" ht="11.25" customHeight="1" x14ac:dyDescent="0.2">
      <c r="A26" s="49">
        <v>44531</v>
      </c>
      <c r="B26" s="39">
        <v>39789.119999999995</v>
      </c>
      <c r="C26" s="39">
        <v>39412.773360341809</v>
      </c>
      <c r="D26" s="39">
        <v>2807.8507599999998</v>
      </c>
      <c r="E26" s="39">
        <v>3094.9579162566583</v>
      </c>
      <c r="F26" s="39">
        <v>10511.666999999999</v>
      </c>
      <c r="G26" s="39">
        <v>7508.5499388083063</v>
      </c>
      <c r="H26" s="40">
        <v>-2.0949725252605855E-3</v>
      </c>
      <c r="I26" s="40">
        <v>-0.28569370216842804</v>
      </c>
      <c r="J26" s="40">
        <v>-5.8226997999227592E-2</v>
      </c>
    </row>
    <row r="27" spans="1:10" ht="11.25" customHeight="1" x14ac:dyDescent="0.2">
      <c r="A27" s="49">
        <v>44562</v>
      </c>
      <c r="B27" s="39">
        <v>38238.199999999997</v>
      </c>
      <c r="C27" s="39">
        <v>37876.522785812354</v>
      </c>
      <c r="D27" s="39">
        <v>2797.64914</v>
      </c>
      <c r="E27" s="39">
        <v>3083.7131645670629</v>
      </c>
      <c r="F27" s="39">
        <v>10473.4755</v>
      </c>
      <c r="G27" s="39">
        <v>7481.2695098346721</v>
      </c>
      <c r="H27" s="40">
        <v>-1.8426130128955664E-3</v>
      </c>
      <c r="I27" s="40">
        <v>-0.28569370216842804</v>
      </c>
      <c r="J27" s="40">
        <v>-5.9558520738273724E-2</v>
      </c>
    </row>
    <row r="28" spans="1:10" ht="11.25" customHeight="1" x14ac:dyDescent="0.2">
      <c r="A28" s="49">
        <v>44593</v>
      </c>
      <c r="B28" s="39">
        <v>38238.199999999997</v>
      </c>
      <c r="C28" s="39">
        <v>37876.522785812354</v>
      </c>
      <c r="D28" s="39">
        <v>2059.9807799999999</v>
      </c>
      <c r="E28" s="39">
        <v>2270.6170545893133</v>
      </c>
      <c r="F28" s="39">
        <v>7711.8885</v>
      </c>
      <c r="G28" s="39">
        <v>5508.6505237248748</v>
      </c>
      <c r="H28" s="40">
        <v>-3.7480833296894556E-3</v>
      </c>
      <c r="I28" s="40">
        <v>-0.28569370216842804</v>
      </c>
      <c r="J28" s="40">
        <v>-4.903719055565281E-2</v>
      </c>
    </row>
    <row r="29" spans="1:10" ht="11.25" customHeight="1" x14ac:dyDescent="0.2">
      <c r="A29" s="49">
        <v>44621</v>
      </c>
      <c r="B29" s="39">
        <v>38238.199999999997</v>
      </c>
      <c r="C29" s="39">
        <v>37876.522785812354</v>
      </c>
      <c r="D29" s="39">
        <v>2862.4252799999999</v>
      </c>
      <c r="E29" s="39">
        <v>3155.1127667587225</v>
      </c>
      <c r="F29" s="39">
        <v>10715.976000000001</v>
      </c>
      <c r="G29" s="39">
        <v>7654.489144211977</v>
      </c>
      <c r="H29" s="40">
        <v>-1.6785566389545536E-3</v>
      </c>
      <c r="I29" s="40">
        <v>-0.28569370216842804</v>
      </c>
      <c r="J29" s="40">
        <v>-6.0414548733153661E-2</v>
      </c>
    </row>
    <row r="30" spans="1:10" ht="11.25" customHeight="1" x14ac:dyDescent="0.2">
      <c r="A30" s="49">
        <v>44652</v>
      </c>
      <c r="B30" s="39">
        <v>38238.199999999997</v>
      </c>
      <c r="C30" s="39">
        <v>37876.522785812354</v>
      </c>
      <c r="D30" s="39">
        <v>2484.2188799999999</v>
      </c>
      <c r="E30" s="39">
        <v>2738.2341675346911</v>
      </c>
      <c r="F30" s="39">
        <v>9300.0960000000014</v>
      </c>
      <c r="G30" s="39">
        <v>6643.1171432382116</v>
      </c>
      <c r="H30" s="40">
        <v>-2.6437998923936057E-3</v>
      </c>
      <c r="I30" s="40">
        <v>-0.28569370216842804</v>
      </c>
      <c r="J30" s="40">
        <v>-5.526792865266561E-2</v>
      </c>
    </row>
    <row r="31" spans="1:10" ht="11.25" customHeight="1" x14ac:dyDescent="0.2">
      <c r="A31" s="49">
        <v>44682</v>
      </c>
      <c r="B31" s="39">
        <v>38238.199999999997</v>
      </c>
      <c r="C31" s="39">
        <v>37876.522785812354</v>
      </c>
      <c r="D31" s="39">
        <v>2825.5999199999997</v>
      </c>
      <c r="E31" s="39">
        <v>3114.5219557816454</v>
      </c>
      <c r="F31" s="39">
        <v>10578.114</v>
      </c>
      <c r="G31" s="39">
        <v>7556.0134493803198</v>
      </c>
      <c r="H31" s="40">
        <v>-1.7717595192782154E-3</v>
      </c>
      <c r="I31" s="40">
        <v>-0.28569370216842815</v>
      </c>
      <c r="J31" s="40">
        <v>-5.9929144644406684E-2</v>
      </c>
    </row>
    <row r="32" spans="1:10" ht="11.25" customHeight="1" x14ac:dyDescent="0.2">
      <c r="A32" s="49">
        <v>44713</v>
      </c>
      <c r="B32" s="39">
        <v>38238.199999999997</v>
      </c>
      <c r="C32" s="39">
        <v>37876.522785812354</v>
      </c>
      <c r="D32" s="39">
        <v>2483.5553599999998</v>
      </c>
      <c r="E32" s="39">
        <v>2737.50280157114</v>
      </c>
      <c r="F32" s="39">
        <v>9297.6119999999992</v>
      </c>
      <c r="G32" s="39">
        <v>6641.3428063943966</v>
      </c>
      <c r="H32" s="40">
        <v>-2.6455090568693329E-3</v>
      </c>
      <c r="I32" s="40">
        <v>-0.28569370216842804</v>
      </c>
      <c r="J32" s="40">
        <v>-5.525857507011267E-2</v>
      </c>
    </row>
    <row r="33" spans="1:10" ht="11.25" customHeight="1" x14ac:dyDescent="0.2">
      <c r="A33" s="49">
        <v>44743</v>
      </c>
      <c r="B33" s="39">
        <v>38238.199999999997</v>
      </c>
      <c r="C33" s="39">
        <v>37876.522785812354</v>
      </c>
      <c r="D33" s="39">
        <v>2499.8945399999998</v>
      </c>
      <c r="E33" s="39">
        <v>2755.5126884235815</v>
      </c>
      <c r="F33" s="39">
        <v>9358.7804999999989</v>
      </c>
      <c r="G33" s="39">
        <v>6685.0358511733075</v>
      </c>
      <c r="H33" s="40">
        <v>-2.6034370768108772E-3</v>
      </c>
      <c r="I33" s="40">
        <v>-0.28569370216842804</v>
      </c>
      <c r="J33" s="40">
        <v>-5.5488565152441494E-2</v>
      </c>
    </row>
    <row r="34" spans="1:10" ht="11.25" customHeight="1" x14ac:dyDescent="0.2">
      <c r="A34" s="49">
        <v>44774</v>
      </c>
      <c r="B34" s="39">
        <v>38238.199999999997</v>
      </c>
      <c r="C34" s="39">
        <v>37876.522785812354</v>
      </c>
      <c r="D34" s="39">
        <v>2645.45424</v>
      </c>
      <c r="E34" s="39">
        <v>2915.9560966775675</v>
      </c>
      <c r="F34" s="39">
        <v>9903.7080000000005</v>
      </c>
      <c r="G34" s="39">
        <v>7074.2809962849215</v>
      </c>
      <c r="H34" s="40">
        <v>-2.2301176155841151E-3</v>
      </c>
      <c r="I34" s="40">
        <v>-0.28569370216842815</v>
      </c>
      <c r="J34" s="40">
        <v>-5.7506478627962543E-2</v>
      </c>
    </row>
    <row r="35" spans="1:10" ht="11.25" customHeight="1" x14ac:dyDescent="0.2">
      <c r="A35" s="43" t="s">
        <v>37</v>
      </c>
      <c r="B35" s="39">
        <v>685451.5199999999</v>
      </c>
      <c r="C35" s="39">
        <v>683977.48162591364</v>
      </c>
      <c r="D35" s="39">
        <v>1407640.0568800003</v>
      </c>
      <c r="E35" s="39">
        <v>1470962.7911241581</v>
      </c>
      <c r="F35" s="39">
        <v>2565920.7675000015</v>
      </c>
      <c r="G35" s="39">
        <v>1832853.363962071</v>
      </c>
      <c r="H35" s="40">
        <v>2.9548967925361547E-2</v>
      </c>
      <c r="I35" s="40">
        <v>-0.28569370216842838</v>
      </c>
      <c r="J35" s="40">
        <v>-0.14406888371470528</v>
      </c>
    </row>
    <row r="36" spans="1:10" ht="11.25" customHeight="1" x14ac:dyDescent="0.2">
      <c r="A36" s="44" t="s">
        <v>32</v>
      </c>
      <c r="B36" s="39">
        <v>685451.5199999999</v>
      </c>
      <c r="C36" s="39">
        <v>683977.48162591364</v>
      </c>
      <c r="D36" s="39">
        <v>1407640.0568800003</v>
      </c>
      <c r="E36" s="39">
        <v>1470962.7911241581</v>
      </c>
      <c r="F36" s="39">
        <v>2565920.7675000015</v>
      </c>
      <c r="G36" s="39">
        <v>1832853.363962071</v>
      </c>
      <c r="H36" s="40">
        <v>2.9548967925361547E-2</v>
      </c>
      <c r="I36" s="40">
        <v>-0.28569370216842838</v>
      </c>
      <c r="J36" s="40">
        <v>-0.14406888371470528</v>
      </c>
    </row>
    <row r="37" spans="1:10" ht="11.25" customHeight="1" x14ac:dyDescent="0.2">
      <c r="A37" s="45" t="s">
        <v>25</v>
      </c>
      <c r="B37" s="39">
        <v>685451.5199999999</v>
      </c>
      <c r="C37" s="39">
        <v>683977.48162591364</v>
      </c>
      <c r="D37" s="39">
        <v>1407640.0568800003</v>
      </c>
      <c r="E37" s="39">
        <v>1470962.7911241581</v>
      </c>
      <c r="F37" s="39">
        <v>2565920.7675000015</v>
      </c>
      <c r="G37" s="39">
        <v>1832853.363962071</v>
      </c>
      <c r="H37" s="40">
        <v>2.9548967925361547E-2</v>
      </c>
      <c r="I37" s="40">
        <v>-0.28569370216842838</v>
      </c>
      <c r="J37" s="40">
        <v>-0.14406888371470528</v>
      </c>
    </row>
    <row r="38" spans="1:10" ht="11.25" customHeight="1" x14ac:dyDescent="0.2">
      <c r="A38" s="46" t="s">
        <v>25</v>
      </c>
      <c r="B38" s="39">
        <v>685451.5199999999</v>
      </c>
      <c r="C38" s="39">
        <v>683977.48162591364</v>
      </c>
      <c r="D38" s="39">
        <v>1407640.0568800003</v>
      </c>
      <c r="E38" s="39">
        <v>1470962.7911241581</v>
      </c>
      <c r="F38" s="39">
        <v>2565920.7675000015</v>
      </c>
      <c r="G38" s="39">
        <v>1832853.363962071</v>
      </c>
      <c r="H38" s="40">
        <v>2.9548967925361547E-2</v>
      </c>
      <c r="I38" s="40">
        <v>-0.28569370216842838</v>
      </c>
      <c r="J38" s="40">
        <v>-0.14406888371470528</v>
      </c>
    </row>
    <row r="39" spans="1:10" ht="11.25" customHeight="1" x14ac:dyDescent="0.2">
      <c r="A39" s="47" t="s">
        <v>25</v>
      </c>
      <c r="B39" s="39">
        <v>685451.5199999999</v>
      </c>
      <c r="C39" s="39">
        <v>683977.48162591364</v>
      </c>
      <c r="D39" s="39">
        <v>1407640.0568800003</v>
      </c>
      <c r="E39" s="39">
        <v>1470962.7911241581</v>
      </c>
      <c r="F39" s="39">
        <v>2565920.7675000015</v>
      </c>
      <c r="G39" s="39">
        <v>1832853.363962071</v>
      </c>
      <c r="H39" s="40">
        <v>2.9548967925361547E-2</v>
      </c>
      <c r="I39" s="40">
        <v>-0.28569370216842838</v>
      </c>
      <c r="J39" s="40">
        <v>-0.14406888371470528</v>
      </c>
    </row>
    <row r="40" spans="1:10" ht="11.25" customHeight="1" x14ac:dyDescent="0.2">
      <c r="A40" s="48" t="s">
        <v>36</v>
      </c>
      <c r="B40" s="39">
        <v>0</v>
      </c>
      <c r="C40" s="39">
        <v>0</v>
      </c>
      <c r="D40" s="39">
        <v>638835.48014</v>
      </c>
      <c r="E40" s="39">
        <v>704157.41271267424</v>
      </c>
      <c r="F40" s="39">
        <v>2391589.3005000004</v>
      </c>
      <c r="G40" s="39">
        <v>1708327.2991737539</v>
      </c>
      <c r="H40" s="40">
        <v>0.10225157274977748</v>
      </c>
      <c r="I40" s="40">
        <v>-0.28569370216842815</v>
      </c>
      <c r="J40" s="40">
        <v>-0.2039120299904188</v>
      </c>
    </row>
    <row r="41" spans="1:10" ht="11.25" customHeight="1" x14ac:dyDescent="0.2">
      <c r="A41" s="49">
        <v>44440</v>
      </c>
      <c r="B41" s="39">
        <v>0</v>
      </c>
      <c r="C41" s="39">
        <v>0</v>
      </c>
      <c r="D41" s="39">
        <v>50522.486299999997</v>
      </c>
      <c r="E41" s="39">
        <v>55688.489983404092</v>
      </c>
      <c r="F41" s="39">
        <v>189139.52249999999</v>
      </c>
      <c r="G41" s="39">
        <v>135103.5520906063</v>
      </c>
      <c r="H41" s="40">
        <v>0.1022515727497777</v>
      </c>
      <c r="I41" s="40">
        <v>-0.28569370216842804</v>
      </c>
      <c r="J41" s="40">
        <v>-0.20391202999041869</v>
      </c>
    </row>
    <row r="42" spans="1:10" ht="11.25" customHeight="1" x14ac:dyDescent="0.2">
      <c r="A42" s="49">
        <v>44470</v>
      </c>
      <c r="B42" s="39">
        <v>0</v>
      </c>
      <c r="C42" s="39">
        <v>0</v>
      </c>
      <c r="D42" s="39">
        <v>51918.117679999996</v>
      </c>
      <c r="E42" s="39">
        <v>57226.826866988027</v>
      </c>
      <c r="F42" s="39">
        <v>194364.30599999998</v>
      </c>
      <c r="G42" s="39">
        <v>138835.64784946278</v>
      </c>
      <c r="H42" s="40">
        <v>0.10225157274977748</v>
      </c>
      <c r="I42" s="40">
        <v>-0.28569370216842804</v>
      </c>
      <c r="J42" s="40">
        <v>-0.20391202999041869</v>
      </c>
    </row>
    <row r="43" spans="1:10" ht="11.25" customHeight="1" x14ac:dyDescent="0.2">
      <c r="A43" s="49">
        <v>44501</v>
      </c>
      <c r="B43" s="39">
        <v>0</v>
      </c>
      <c r="C43" s="39">
        <v>0</v>
      </c>
      <c r="D43" s="39">
        <v>54035.078239999995</v>
      </c>
      <c r="E43" s="39">
        <v>59560.249973697282</v>
      </c>
      <c r="F43" s="39">
        <v>202289.508</v>
      </c>
      <c r="G43" s="39">
        <v>144496.66954965016</v>
      </c>
      <c r="H43" s="40">
        <v>0.1022515727497777</v>
      </c>
      <c r="I43" s="40">
        <v>-0.28569370216842804</v>
      </c>
      <c r="J43" s="40">
        <v>-0.20391202999041869</v>
      </c>
    </row>
    <row r="44" spans="1:10" ht="11.25" customHeight="1" x14ac:dyDescent="0.2">
      <c r="A44" s="49">
        <v>44531</v>
      </c>
      <c r="B44" s="39">
        <v>0</v>
      </c>
      <c r="C44" s="39">
        <v>0</v>
      </c>
      <c r="D44" s="39">
        <v>51415.750099999997</v>
      </c>
      <c r="E44" s="39">
        <v>56673.091411834532</v>
      </c>
      <c r="F44" s="39">
        <v>192483.60749999998</v>
      </c>
      <c r="G44" s="39">
        <v>137492.25306659038</v>
      </c>
      <c r="H44" s="40">
        <v>0.1022515727497777</v>
      </c>
      <c r="I44" s="40">
        <v>-0.28569370216842804</v>
      </c>
      <c r="J44" s="40">
        <v>-0.2039120299904188</v>
      </c>
    </row>
    <row r="45" spans="1:10" ht="11.25" customHeight="1" x14ac:dyDescent="0.2">
      <c r="A45" s="49">
        <v>44562</v>
      </c>
      <c r="B45" s="39">
        <v>0</v>
      </c>
      <c r="C45" s="39">
        <v>0</v>
      </c>
      <c r="D45" s="39">
        <v>52728.192660000001</v>
      </c>
      <c r="E45" s="39">
        <v>58119.73328773828</v>
      </c>
      <c r="F45" s="39">
        <v>197396.9595</v>
      </c>
      <c r="G45" s="39">
        <v>141001.89134365376</v>
      </c>
      <c r="H45" s="40">
        <v>0.1022515727497777</v>
      </c>
      <c r="I45" s="40">
        <v>-0.28569370216842804</v>
      </c>
      <c r="J45" s="40">
        <v>-0.20391202999041869</v>
      </c>
    </row>
    <row r="46" spans="1:10" ht="11.25" customHeight="1" x14ac:dyDescent="0.2">
      <c r="A46" s="49">
        <v>44593</v>
      </c>
      <c r="B46" s="39">
        <v>0</v>
      </c>
      <c r="C46" s="39">
        <v>0</v>
      </c>
      <c r="D46" s="39">
        <v>45305.394420000004</v>
      </c>
      <c r="E46" s="39">
        <v>49937.942253494002</v>
      </c>
      <c r="F46" s="39">
        <v>169608.45150000002</v>
      </c>
      <c r="G46" s="39">
        <v>121152.38507191073</v>
      </c>
      <c r="H46" s="40">
        <v>0.1022515727497777</v>
      </c>
      <c r="I46" s="40">
        <v>-0.28569370216842815</v>
      </c>
      <c r="J46" s="40">
        <v>-0.2039120299904188</v>
      </c>
    </row>
    <row r="47" spans="1:10" ht="11.25" customHeight="1" x14ac:dyDescent="0.2">
      <c r="A47" s="49">
        <v>44621</v>
      </c>
      <c r="B47" s="39">
        <v>0</v>
      </c>
      <c r="C47" s="39">
        <v>0</v>
      </c>
      <c r="D47" s="39">
        <v>54577.837599999999</v>
      </c>
      <c r="E47" s="39">
        <v>60158.507331881941</v>
      </c>
      <c r="F47" s="39">
        <v>204321.41999999998</v>
      </c>
      <c r="G47" s="39">
        <v>145948.07708788969</v>
      </c>
      <c r="H47" s="40">
        <v>0.10225157274977748</v>
      </c>
      <c r="I47" s="40">
        <v>-0.28569370216842804</v>
      </c>
      <c r="J47" s="40">
        <v>-0.2039120299904188</v>
      </c>
    </row>
    <row r="48" spans="1:10" ht="11.25" customHeight="1" x14ac:dyDescent="0.2">
      <c r="A48" s="49">
        <v>44652</v>
      </c>
      <c r="B48" s="39">
        <v>0</v>
      </c>
      <c r="C48" s="39">
        <v>0</v>
      </c>
      <c r="D48" s="39">
        <v>53092.29926</v>
      </c>
      <c r="E48" s="39">
        <v>58521.070360236852</v>
      </c>
      <c r="F48" s="39">
        <v>198760.0545</v>
      </c>
      <c r="G48" s="39">
        <v>141975.55868669649</v>
      </c>
      <c r="H48" s="40">
        <v>0.10225157274977748</v>
      </c>
      <c r="I48" s="40">
        <v>-0.28569370216842793</v>
      </c>
      <c r="J48" s="40">
        <v>-0.20391202999041869</v>
      </c>
    </row>
    <row r="49" spans="1:10" ht="11.25" customHeight="1" x14ac:dyDescent="0.2">
      <c r="A49" s="49">
        <v>44682</v>
      </c>
      <c r="B49" s="39">
        <v>0</v>
      </c>
      <c r="C49" s="39">
        <v>0</v>
      </c>
      <c r="D49" s="39">
        <v>56513.15956</v>
      </c>
      <c r="E49" s="39">
        <v>62291.719006069128</v>
      </c>
      <c r="F49" s="39">
        <v>211566.62700000001</v>
      </c>
      <c r="G49" s="39">
        <v>151123.37407708311</v>
      </c>
      <c r="H49" s="40">
        <v>0.10225157274977748</v>
      </c>
      <c r="I49" s="40">
        <v>-0.28569370216842804</v>
      </c>
      <c r="J49" s="40">
        <v>-0.2039120299904188</v>
      </c>
    </row>
    <row r="50" spans="1:10" ht="11.25" customHeight="1" x14ac:dyDescent="0.2">
      <c r="A50" s="49">
        <v>44713</v>
      </c>
      <c r="B50" s="39">
        <v>0</v>
      </c>
      <c r="C50" s="39">
        <v>0</v>
      </c>
      <c r="D50" s="39">
        <v>53541.33642</v>
      </c>
      <c r="E50" s="39">
        <v>59016.022276069947</v>
      </c>
      <c r="F50" s="39">
        <v>200441.10149999999</v>
      </c>
      <c r="G50" s="39">
        <v>143176.34114574734</v>
      </c>
      <c r="H50" s="40">
        <v>0.1022515727497777</v>
      </c>
      <c r="I50" s="40">
        <v>-0.28569370216842804</v>
      </c>
      <c r="J50" s="40">
        <v>-0.2039120299904188</v>
      </c>
    </row>
    <row r="51" spans="1:10" ht="11.25" customHeight="1" x14ac:dyDescent="0.2">
      <c r="A51" s="49">
        <v>44743</v>
      </c>
      <c r="B51" s="39">
        <v>0</v>
      </c>
      <c r="C51" s="39">
        <v>0</v>
      </c>
      <c r="D51" s="39">
        <v>57117.460399999996</v>
      </c>
      <c r="E51" s="39">
        <v>62957.810557373137</v>
      </c>
      <c r="F51" s="39">
        <v>213828.93</v>
      </c>
      <c r="G51" s="39">
        <v>152739.35135758633</v>
      </c>
      <c r="H51" s="40">
        <v>0.1022515727497777</v>
      </c>
      <c r="I51" s="40">
        <v>-0.28569370216842815</v>
      </c>
      <c r="J51" s="40">
        <v>-0.2039120299904188</v>
      </c>
    </row>
    <row r="52" spans="1:10" ht="11.25" customHeight="1" x14ac:dyDescent="0.2">
      <c r="A52" s="49">
        <v>44774</v>
      </c>
      <c r="B52" s="39">
        <v>0</v>
      </c>
      <c r="C52" s="39">
        <v>0</v>
      </c>
      <c r="D52" s="39">
        <v>58068.3675</v>
      </c>
      <c r="E52" s="39">
        <v>64005.949403887069</v>
      </c>
      <c r="F52" s="39">
        <v>217388.8125</v>
      </c>
      <c r="G52" s="39">
        <v>155282.19784687675</v>
      </c>
      <c r="H52" s="40">
        <v>0.10225157274977748</v>
      </c>
      <c r="I52" s="40">
        <v>-0.28569370216842804</v>
      </c>
      <c r="J52" s="40">
        <v>-0.2039120299904188</v>
      </c>
    </row>
    <row r="53" spans="1:10" ht="11.25" customHeight="1" x14ac:dyDescent="0.2">
      <c r="A53" s="48" t="s">
        <v>25</v>
      </c>
      <c r="B53" s="39">
        <v>685451.5199999999</v>
      </c>
      <c r="C53" s="39">
        <v>683977.48162591364</v>
      </c>
      <c r="D53" s="39">
        <v>0</v>
      </c>
      <c r="E53" s="39">
        <v>0</v>
      </c>
      <c r="F53" s="39">
        <v>0</v>
      </c>
      <c r="G53" s="39">
        <v>0</v>
      </c>
      <c r="H53" s="40">
        <v>-2.1504633530993189E-3</v>
      </c>
      <c r="I53" s="40">
        <v>0</v>
      </c>
      <c r="J53" s="40">
        <v>-2.1504633530993189E-3</v>
      </c>
    </row>
    <row r="54" spans="1:10" ht="11.25" customHeight="1" x14ac:dyDescent="0.2">
      <c r="A54" s="49">
        <v>44440</v>
      </c>
      <c r="B54" s="39">
        <v>57283.199999999997</v>
      </c>
      <c r="C54" s="39">
        <v>57160.014577651731</v>
      </c>
      <c r="D54" s="39">
        <v>0</v>
      </c>
      <c r="E54" s="39">
        <v>0</v>
      </c>
      <c r="F54" s="39">
        <v>0</v>
      </c>
      <c r="G54" s="39">
        <v>0</v>
      </c>
      <c r="H54" s="40">
        <v>-2.1504633530994299E-3</v>
      </c>
      <c r="I54" s="40">
        <v>0</v>
      </c>
      <c r="J54" s="40">
        <v>-2.1504633530994299E-3</v>
      </c>
    </row>
    <row r="55" spans="1:10" ht="11.25" customHeight="1" x14ac:dyDescent="0.2">
      <c r="A55" s="49">
        <v>44470</v>
      </c>
      <c r="B55" s="39">
        <v>57096</v>
      </c>
      <c r="C55" s="39">
        <v>56973.217144391434</v>
      </c>
      <c r="D55" s="39">
        <v>0</v>
      </c>
      <c r="E55" s="39">
        <v>0</v>
      </c>
      <c r="F55" s="39">
        <v>0</v>
      </c>
      <c r="G55" s="39">
        <v>0</v>
      </c>
      <c r="H55" s="40">
        <v>-2.1504633530994299E-3</v>
      </c>
      <c r="I55" s="40">
        <v>0</v>
      </c>
      <c r="J55" s="40">
        <v>-2.1504633530994299E-3</v>
      </c>
    </row>
    <row r="56" spans="1:10" ht="11.25" customHeight="1" x14ac:dyDescent="0.2">
      <c r="A56" s="49">
        <v>44501</v>
      </c>
      <c r="B56" s="39">
        <v>57096</v>
      </c>
      <c r="C56" s="39">
        <v>56973.217144391434</v>
      </c>
      <c r="D56" s="39">
        <v>0</v>
      </c>
      <c r="E56" s="39">
        <v>0</v>
      </c>
      <c r="F56" s="39">
        <v>0</v>
      </c>
      <c r="G56" s="39">
        <v>0</v>
      </c>
      <c r="H56" s="40">
        <v>-2.1504633530994299E-3</v>
      </c>
      <c r="I56" s="40">
        <v>0</v>
      </c>
      <c r="J56" s="40">
        <v>-2.1504633530994299E-3</v>
      </c>
    </row>
    <row r="57" spans="1:10" ht="11.25" customHeight="1" x14ac:dyDescent="0.2">
      <c r="A57" s="49">
        <v>44531</v>
      </c>
      <c r="B57" s="39">
        <v>57096</v>
      </c>
      <c r="C57" s="39">
        <v>56973.217144391434</v>
      </c>
      <c r="D57" s="39">
        <v>0</v>
      </c>
      <c r="E57" s="39">
        <v>0</v>
      </c>
      <c r="F57" s="39">
        <v>0</v>
      </c>
      <c r="G57" s="39">
        <v>0</v>
      </c>
      <c r="H57" s="40">
        <v>-2.1504633530994299E-3</v>
      </c>
      <c r="I57" s="40">
        <v>0</v>
      </c>
      <c r="J57" s="40">
        <v>-2.1504633530994299E-3</v>
      </c>
    </row>
    <row r="58" spans="1:10" ht="11.25" customHeight="1" x14ac:dyDescent="0.2">
      <c r="A58" s="49">
        <v>44562</v>
      </c>
      <c r="B58" s="39">
        <v>57096</v>
      </c>
      <c r="C58" s="39">
        <v>56973.217144391434</v>
      </c>
      <c r="D58" s="39">
        <v>0</v>
      </c>
      <c r="E58" s="39">
        <v>0</v>
      </c>
      <c r="F58" s="39">
        <v>0</v>
      </c>
      <c r="G58" s="39">
        <v>0</v>
      </c>
      <c r="H58" s="40">
        <v>-2.1504633530994299E-3</v>
      </c>
      <c r="I58" s="40">
        <v>0</v>
      </c>
      <c r="J58" s="40">
        <v>-2.1504633530994299E-3</v>
      </c>
    </row>
    <row r="59" spans="1:10" ht="11.25" customHeight="1" x14ac:dyDescent="0.2">
      <c r="A59" s="49">
        <v>44593</v>
      </c>
      <c r="B59" s="39">
        <v>57096</v>
      </c>
      <c r="C59" s="39">
        <v>56973.217144391434</v>
      </c>
      <c r="D59" s="39">
        <v>0</v>
      </c>
      <c r="E59" s="39">
        <v>0</v>
      </c>
      <c r="F59" s="39">
        <v>0</v>
      </c>
      <c r="G59" s="39">
        <v>0</v>
      </c>
      <c r="H59" s="40">
        <v>-2.1504633530994299E-3</v>
      </c>
      <c r="I59" s="40">
        <v>0</v>
      </c>
      <c r="J59" s="40">
        <v>-2.1504633530994299E-3</v>
      </c>
    </row>
    <row r="60" spans="1:10" ht="11.25" customHeight="1" x14ac:dyDescent="0.2">
      <c r="A60" s="49">
        <v>44621</v>
      </c>
      <c r="B60" s="39">
        <v>57096</v>
      </c>
      <c r="C60" s="39">
        <v>56973.217144391434</v>
      </c>
      <c r="D60" s="39">
        <v>0</v>
      </c>
      <c r="E60" s="39">
        <v>0</v>
      </c>
      <c r="F60" s="39">
        <v>0</v>
      </c>
      <c r="G60" s="39">
        <v>0</v>
      </c>
      <c r="H60" s="40">
        <v>-2.1504633530994299E-3</v>
      </c>
      <c r="I60" s="40">
        <v>0</v>
      </c>
      <c r="J60" s="40">
        <v>-2.1504633530994299E-3</v>
      </c>
    </row>
    <row r="61" spans="1:10" ht="11.25" customHeight="1" x14ac:dyDescent="0.2">
      <c r="A61" s="49">
        <v>44652</v>
      </c>
      <c r="B61" s="39">
        <v>57096</v>
      </c>
      <c r="C61" s="39">
        <v>56973.217144391434</v>
      </c>
      <c r="D61" s="39">
        <v>0</v>
      </c>
      <c r="E61" s="39">
        <v>0</v>
      </c>
      <c r="F61" s="39">
        <v>0</v>
      </c>
      <c r="G61" s="39">
        <v>0</v>
      </c>
      <c r="H61" s="40">
        <v>-2.1504633530994299E-3</v>
      </c>
      <c r="I61" s="40">
        <v>0</v>
      </c>
      <c r="J61" s="40">
        <v>-2.1504633530994299E-3</v>
      </c>
    </row>
    <row r="62" spans="1:10" ht="11.25" customHeight="1" x14ac:dyDescent="0.2">
      <c r="A62" s="49">
        <v>44682</v>
      </c>
      <c r="B62" s="39">
        <v>57096</v>
      </c>
      <c r="C62" s="39">
        <v>56973.217144391434</v>
      </c>
      <c r="D62" s="39">
        <v>0</v>
      </c>
      <c r="E62" s="39">
        <v>0</v>
      </c>
      <c r="F62" s="39">
        <v>0</v>
      </c>
      <c r="G62" s="39">
        <v>0</v>
      </c>
      <c r="H62" s="40">
        <v>-2.1504633530994299E-3</v>
      </c>
      <c r="I62" s="40">
        <v>0</v>
      </c>
      <c r="J62" s="40">
        <v>-2.1504633530994299E-3</v>
      </c>
    </row>
    <row r="63" spans="1:10" ht="11.25" customHeight="1" x14ac:dyDescent="0.2">
      <c r="A63" s="49">
        <v>44713</v>
      </c>
      <c r="B63" s="39">
        <v>57096</v>
      </c>
      <c r="C63" s="39">
        <v>56973.217144391434</v>
      </c>
      <c r="D63" s="39">
        <v>0</v>
      </c>
      <c r="E63" s="39">
        <v>0</v>
      </c>
      <c r="F63" s="39">
        <v>0</v>
      </c>
      <c r="G63" s="39">
        <v>0</v>
      </c>
      <c r="H63" s="40">
        <v>-2.1504633530994299E-3</v>
      </c>
      <c r="I63" s="40">
        <v>0</v>
      </c>
      <c r="J63" s="40">
        <v>-2.1504633530994299E-3</v>
      </c>
    </row>
    <row r="64" spans="1:10" ht="11.25" customHeight="1" x14ac:dyDescent="0.2">
      <c r="A64" s="49">
        <v>44743</v>
      </c>
      <c r="B64" s="39">
        <v>57208.32</v>
      </c>
      <c r="C64" s="39">
        <v>57085.295604347615</v>
      </c>
      <c r="D64" s="39">
        <v>0</v>
      </c>
      <c r="E64" s="39">
        <v>0</v>
      </c>
      <c r="F64" s="39">
        <v>0</v>
      </c>
      <c r="G64" s="39">
        <v>0</v>
      </c>
      <c r="H64" s="40">
        <v>-2.1504633530994299E-3</v>
      </c>
      <c r="I64" s="40">
        <v>0</v>
      </c>
      <c r="J64" s="40">
        <v>-2.1504633530994299E-3</v>
      </c>
    </row>
    <row r="65" spans="1:10" ht="11.25" customHeight="1" x14ac:dyDescent="0.2">
      <c r="A65" s="49">
        <v>44774</v>
      </c>
      <c r="B65" s="39">
        <v>57096</v>
      </c>
      <c r="C65" s="39">
        <v>56973.217144391434</v>
      </c>
      <c r="D65" s="39">
        <v>0</v>
      </c>
      <c r="E65" s="39">
        <v>0</v>
      </c>
      <c r="F65" s="39">
        <v>0</v>
      </c>
      <c r="G65" s="39">
        <v>0</v>
      </c>
      <c r="H65" s="40">
        <v>-2.1504633530994299E-3</v>
      </c>
      <c r="I65" s="40">
        <v>0</v>
      </c>
      <c r="J65" s="40">
        <v>-2.1504633530994299E-3</v>
      </c>
    </row>
    <row r="66" spans="1:10" ht="11.25" customHeight="1" x14ac:dyDescent="0.2">
      <c r="A66" s="48" t="s">
        <v>35</v>
      </c>
      <c r="B66" s="39">
        <v>0</v>
      </c>
      <c r="C66" s="39">
        <v>0</v>
      </c>
      <c r="D66" s="39">
        <v>768804.57673999993</v>
      </c>
      <c r="E66" s="39">
        <v>766805.37841148372</v>
      </c>
      <c r="F66" s="39">
        <v>174331.46700000003</v>
      </c>
      <c r="G66" s="39">
        <v>124526.06478831684</v>
      </c>
      <c r="H66" s="40">
        <v>-2.6003985785224559E-3</v>
      </c>
      <c r="I66" s="40">
        <v>-0.28569370216842827</v>
      </c>
      <c r="J66" s="40">
        <v>-5.4928025372425138E-2</v>
      </c>
    </row>
    <row r="67" spans="1:10" ht="11.25" customHeight="1" x14ac:dyDescent="0.2">
      <c r="A67" s="49">
        <v>44440</v>
      </c>
      <c r="B67" s="39">
        <v>0</v>
      </c>
      <c r="C67" s="39">
        <v>0</v>
      </c>
      <c r="D67" s="39">
        <v>59592.371200000001</v>
      </c>
      <c r="E67" s="39">
        <v>59437.407282640743</v>
      </c>
      <c r="F67" s="39">
        <v>13512.960000000001</v>
      </c>
      <c r="G67" s="39">
        <v>9652.392430346119</v>
      </c>
      <c r="H67" s="40">
        <v>-2.6003985785223449E-3</v>
      </c>
      <c r="I67" s="40">
        <v>-0.28569370216842804</v>
      </c>
      <c r="J67" s="40">
        <v>-5.4928025372425138E-2</v>
      </c>
    </row>
    <row r="68" spans="1:10" ht="11.25" customHeight="1" x14ac:dyDescent="0.2">
      <c r="A68" s="49">
        <v>44470</v>
      </c>
      <c r="B68" s="39">
        <v>0</v>
      </c>
      <c r="C68" s="39">
        <v>0</v>
      </c>
      <c r="D68" s="39">
        <v>58410.656669999989</v>
      </c>
      <c r="E68" s="39">
        <v>58258.76568142476</v>
      </c>
      <c r="F68" s="39">
        <v>13244.9985</v>
      </c>
      <c r="G68" s="39">
        <v>9460.9858433197223</v>
      </c>
      <c r="H68" s="40">
        <v>-2.6003985785224559E-3</v>
      </c>
      <c r="I68" s="40">
        <v>-0.28569370216842815</v>
      </c>
      <c r="J68" s="40">
        <v>-5.4928025372425027E-2</v>
      </c>
    </row>
    <row r="69" spans="1:10" ht="11.25" customHeight="1" x14ac:dyDescent="0.2">
      <c r="A69" s="49">
        <v>44501</v>
      </c>
      <c r="B69" s="39">
        <v>0</v>
      </c>
      <c r="C69" s="39">
        <v>0</v>
      </c>
      <c r="D69" s="39">
        <v>61125.998399999997</v>
      </c>
      <c r="E69" s="39">
        <v>60967.046440649872</v>
      </c>
      <c r="F69" s="39">
        <v>13860.72</v>
      </c>
      <c r="G69" s="39">
        <v>9900.7995884800257</v>
      </c>
      <c r="H69" s="40">
        <v>-2.6003985785224559E-3</v>
      </c>
      <c r="I69" s="40">
        <v>-0.28569370216842804</v>
      </c>
      <c r="J69" s="40">
        <v>-5.4928025372425138E-2</v>
      </c>
    </row>
    <row r="70" spans="1:10" ht="11.25" customHeight="1" x14ac:dyDescent="0.2">
      <c r="A70" s="49">
        <v>44531</v>
      </c>
      <c r="B70" s="39">
        <v>0</v>
      </c>
      <c r="C70" s="39">
        <v>0</v>
      </c>
      <c r="D70" s="39">
        <v>64662.926129999993</v>
      </c>
      <c r="E70" s="39">
        <v>64494.776748808443</v>
      </c>
      <c r="F70" s="39">
        <v>14662.7415</v>
      </c>
      <c r="G70" s="39">
        <v>10473.688596926349</v>
      </c>
      <c r="H70" s="40">
        <v>-2.6003985785223449E-3</v>
      </c>
      <c r="I70" s="40">
        <v>-0.28569370216842804</v>
      </c>
      <c r="J70" s="40">
        <v>-5.4928025372425249E-2</v>
      </c>
    </row>
    <row r="71" spans="1:10" ht="11.25" customHeight="1" x14ac:dyDescent="0.2">
      <c r="A71" s="49">
        <v>44562</v>
      </c>
      <c r="B71" s="39">
        <v>0</v>
      </c>
      <c r="C71" s="39">
        <v>0</v>
      </c>
      <c r="D71" s="39">
        <v>61405.337639999998</v>
      </c>
      <c r="E71" s="39">
        <v>61245.65928728725</v>
      </c>
      <c r="F71" s="39">
        <v>13924.062</v>
      </c>
      <c r="G71" s="39">
        <v>9946.0451779972736</v>
      </c>
      <c r="H71" s="40">
        <v>-2.6003985785224559E-3</v>
      </c>
      <c r="I71" s="40">
        <v>-0.28569370216842804</v>
      </c>
      <c r="J71" s="40">
        <v>-5.4928025372425249E-2</v>
      </c>
    </row>
    <row r="72" spans="1:10" ht="11.25" customHeight="1" x14ac:dyDescent="0.2">
      <c r="A72" s="49">
        <v>44593</v>
      </c>
      <c r="B72" s="39">
        <v>0</v>
      </c>
      <c r="C72" s="39">
        <v>0</v>
      </c>
      <c r="D72" s="39">
        <v>59325.355750000002</v>
      </c>
      <c r="E72" s="39">
        <v>59171.086179237362</v>
      </c>
      <c r="F72" s="39">
        <v>13452.4125</v>
      </c>
      <c r="G72" s="39">
        <v>9609.1429697781623</v>
      </c>
      <c r="H72" s="40">
        <v>-2.6003985785224559E-3</v>
      </c>
      <c r="I72" s="40">
        <v>-0.28569370216842804</v>
      </c>
      <c r="J72" s="40">
        <v>-5.492802537242536E-2</v>
      </c>
    </row>
    <row r="73" spans="1:10" ht="11.25" customHeight="1" x14ac:dyDescent="0.2">
      <c r="A73" s="49">
        <v>44621</v>
      </c>
      <c r="B73" s="39">
        <v>0</v>
      </c>
      <c r="C73" s="39">
        <v>0</v>
      </c>
      <c r="D73" s="39">
        <v>67713.748810000005</v>
      </c>
      <c r="E73" s="39">
        <v>67537.666073848042</v>
      </c>
      <c r="F73" s="39">
        <v>15354.5355</v>
      </c>
      <c r="G73" s="39">
        <v>10967.841407928445</v>
      </c>
      <c r="H73" s="40">
        <v>-2.600398578522678E-3</v>
      </c>
      <c r="I73" s="40">
        <v>-0.28569370216842804</v>
      </c>
      <c r="J73" s="40">
        <v>-5.492802537242536E-2</v>
      </c>
    </row>
    <row r="74" spans="1:10" ht="11.25" customHeight="1" x14ac:dyDescent="0.2">
      <c r="A74" s="49">
        <v>44652</v>
      </c>
      <c r="B74" s="39">
        <v>0</v>
      </c>
      <c r="C74" s="39">
        <v>0</v>
      </c>
      <c r="D74" s="39">
        <v>61273.883879999994</v>
      </c>
      <c r="E74" s="39">
        <v>61114.547359457894</v>
      </c>
      <c r="F74" s="39">
        <v>13894.253999999999</v>
      </c>
      <c r="G74" s="39">
        <v>9924.7531358715096</v>
      </c>
      <c r="H74" s="40">
        <v>-2.6003985785224559E-3</v>
      </c>
      <c r="I74" s="40">
        <v>-0.28569370216842804</v>
      </c>
      <c r="J74" s="40">
        <v>-5.4928025372425138E-2</v>
      </c>
    </row>
    <row r="75" spans="1:10" ht="11.25" customHeight="1" x14ac:dyDescent="0.2">
      <c r="A75" s="49">
        <v>44682</v>
      </c>
      <c r="B75" s="39">
        <v>0</v>
      </c>
      <c r="C75" s="39">
        <v>0</v>
      </c>
      <c r="D75" s="39">
        <v>67245.444789999994</v>
      </c>
      <c r="E75" s="39">
        <v>67070.579830955976</v>
      </c>
      <c r="F75" s="39">
        <v>15248.344500000001</v>
      </c>
      <c r="G75" s="39">
        <v>10891.988507855413</v>
      </c>
      <c r="H75" s="40">
        <v>-2.6003985785223449E-3</v>
      </c>
      <c r="I75" s="40">
        <v>-0.28569370216842804</v>
      </c>
      <c r="J75" s="40">
        <v>-5.4928025372425138E-2</v>
      </c>
    </row>
    <row r="76" spans="1:10" ht="11.25" customHeight="1" x14ac:dyDescent="0.2">
      <c r="A76" s="49">
        <v>44713</v>
      </c>
      <c r="B76" s="39">
        <v>0</v>
      </c>
      <c r="C76" s="39">
        <v>0</v>
      </c>
      <c r="D76" s="39">
        <v>64532.841679999998</v>
      </c>
      <c r="E76" s="39">
        <v>64365.030570227311</v>
      </c>
      <c r="F76" s="39">
        <v>14633.244000000001</v>
      </c>
      <c r="G76" s="39">
        <v>10452.618346906063</v>
      </c>
      <c r="H76" s="40">
        <v>-2.6003985785224559E-3</v>
      </c>
      <c r="I76" s="40">
        <v>-0.28569370216842804</v>
      </c>
      <c r="J76" s="40">
        <v>-5.492802537242536E-2</v>
      </c>
    </row>
    <row r="77" spans="1:10" ht="11.25" customHeight="1" x14ac:dyDescent="0.2">
      <c r="A77" s="49">
        <v>44743</v>
      </c>
      <c r="B77" s="39">
        <v>0</v>
      </c>
      <c r="C77" s="39">
        <v>0</v>
      </c>
      <c r="D77" s="39">
        <v>65839.163419999997</v>
      </c>
      <c r="E77" s="39">
        <v>65667.955353031517</v>
      </c>
      <c r="F77" s="39">
        <v>14929.460999999999</v>
      </c>
      <c r="G77" s="39">
        <v>10664.208015530838</v>
      </c>
      <c r="H77" s="40">
        <v>-2.600398578522567E-3</v>
      </c>
      <c r="I77" s="40">
        <v>-0.28569370216842804</v>
      </c>
      <c r="J77" s="40">
        <v>-5.4928025372425138E-2</v>
      </c>
    </row>
    <row r="78" spans="1:10" ht="11.25" customHeight="1" x14ac:dyDescent="0.2">
      <c r="A78" s="49">
        <v>44774</v>
      </c>
      <c r="B78" s="39">
        <v>0</v>
      </c>
      <c r="C78" s="39">
        <v>0</v>
      </c>
      <c r="D78" s="39">
        <v>77676.848369999992</v>
      </c>
      <c r="E78" s="39">
        <v>77474.857603914541</v>
      </c>
      <c r="F78" s="39">
        <v>17613.733499999998</v>
      </c>
      <c r="G78" s="39">
        <v>12581.600767376935</v>
      </c>
      <c r="H78" s="40">
        <v>-2.6003985785224559E-3</v>
      </c>
      <c r="I78" s="40">
        <v>-0.28569370216842804</v>
      </c>
      <c r="J78" s="40">
        <v>-5.4928025372425138E-2</v>
      </c>
    </row>
    <row r="79" spans="1:10" ht="11.25" customHeight="1" x14ac:dyDescent="0.2">
      <c r="A79" s="42" t="s">
        <v>22</v>
      </c>
      <c r="B79" s="39">
        <v>0</v>
      </c>
      <c r="C79" s="39">
        <v>0</v>
      </c>
      <c r="D79" s="39">
        <v>134257.39887000006</v>
      </c>
      <c r="E79" s="39">
        <v>136325.63637108565</v>
      </c>
      <c r="F79" s="39">
        <v>138180.68535000004</v>
      </c>
      <c r="G79" s="39">
        <v>98703.342248717425</v>
      </c>
      <c r="H79" s="40">
        <v>1.5405016918942582E-2</v>
      </c>
      <c r="I79" s="40">
        <v>-0.2856936409114621</v>
      </c>
      <c r="J79" s="40">
        <v>-0.13731232073261945</v>
      </c>
    </row>
    <row r="80" spans="1:10" ht="11.25" customHeight="1" x14ac:dyDescent="0.2">
      <c r="A80" s="43" t="s">
        <v>23</v>
      </c>
      <c r="B80" s="39">
        <v>0</v>
      </c>
      <c r="C80" s="39">
        <v>0</v>
      </c>
      <c r="D80" s="39">
        <v>134257.39887000006</v>
      </c>
      <c r="E80" s="39">
        <v>136325.63637108565</v>
      </c>
      <c r="F80" s="39">
        <v>138180.68535000004</v>
      </c>
      <c r="G80" s="39">
        <v>98703.342248717425</v>
      </c>
      <c r="H80" s="40">
        <v>1.5405016918942582E-2</v>
      </c>
      <c r="I80" s="40">
        <v>-0.2856936409114621</v>
      </c>
      <c r="J80" s="40">
        <v>-0.13731232073261945</v>
      </c>
    </row>
    <row r="81" spans="1:10" ht="11.25" customHeight="1" x14ac:dyDescent="0.2">
      <c r="A81" s="44" t="s">
        <v>24</v>
      </c>
      <c r="B81" s="39">
        <v>0</v>
      </c>
      <c r="C81" s="39">
        <v>0</v>
      </c>
      <c r="D81" s="39">
        <v>134257.39887000006</v>
      </c>
      <c r="E81" s="39">
        <v>136325.63637108565</v>
      </c>
      <c r="F81" s="39">
        <v>138180.68535000004</v>
      </c>
      <c r="G81" s="39">
        <v>98703.342248717425</v>
      </c>
      <c r="H81" s="40">
        <v>1.5405016918942582E-2</v>
      </c>
      <c r="I81" s="40">
        <v>-0.2856936409114621</v>
      </c>
      <c r="J81" s="40">
        <v>-0.13731232073261945</v>
      </c>
    </row>
    <row r="82" spans="1:10" ht="11.25" customHeight="1" x14ac:dyDescent="0.2">
      <c r="A82" s="45" t="s">
        <v>24</v>
      </c>
      <c r="B82" s="39">
        <v>0</v>
      </c>
      <c r="C82" s="39">
        <v>0</v>
      </c>
      <c r="D82" s="39">
        <v>131871.55119999999</v>
      </c>
      <c r="E82" s="39">
        <v>134055.71041575912</v>
      </c>
      <c r="F82" s="39">
        <v>134846.424</v>
      </c>
      <c r="G82" s="39">
        <v>96321.649903266429</v>
      </c>
      <c r="H82" s="40">
        <v>1.6562777914446158E-2</v>
      </c>
      <c r="I82" s="40">
        <v>-0.28569370216842827</v>
      </c>
      <c r="J82" s="40">
        <v>-0.1362510901401538</v>
      </c>
    </row>
    <row r="83" spans="1:10" ht="11.25" customHeight="1" x14ac:dyDescent="0.2">
      <c r="A83" s="46" t="s">
        <v>25</v>
      </c>
      <c r="B83" s="39">
        <v>0</v>
      </c>
      <c r="C83" s="39">
        <v>0</v>
      </c>
      <c r="D83" s="39">
        <v>131871.55119999999</v>
      </c>
      <c r="E83" s="39">
        <v>134055.71041575912</v>
      </c>
      <c r="F83" s="39">
        <v>134846.424</v>
      </c>
      <c r="G83" s="39">
        <v>96321.649903266429</v>
      </c>
      <c r="H83" s="40">
        <v>1.6562777914446158E-2</v>
      </c>
      <c r="I83" s="40">
        <v>-0.28569370216842827</v>
      </c>
      <c r="J83" s="40">
        <v>-0.1362510901401538</v>
      </c>
    </row>
    <row r="84" spans="1:10" ht="11.25" customHeight="1" x14ac:dyDescent="0.2">
      <c r="A84" s="47" t="s">
        <v>25</v>
      </c>
      <c r="B84" s="39">
        <v>0</v>
      </c>
      <c r="C84" s="39">
        <v>0</v>
      </c>
      <c r="D84" s="39">
        <v>131871.55119999999</v>
      </c>
      <c r="E84" s="39">
        <v>134055.71041575912</v>
      </c>
      <c r="F84" s="39">
        <v>134846.424</v>
      </c>
      <c r="G84" s="39">
        <v>96321.649903266429</v>
      </c>
      <c r="H84" s="40">
        <v>1.6562777914446158E-2</v>
      </c>
      <c r="I84" s="40">
        <v>-0.28569370216842827</v>
      </c>
      <c r="J84" s="40">
        <v>-0.1362510901401538</v>
      </c>
    </row>
    <row r="85" spans="1:10" ht="11.25" customHeight="1" x14ac:dyDescent="0.2">
      <c r="A85" s="48" t="s">
        <v>25</v>
      </c>
      <c r="B85" s="39">
        <v>0</v>
      </c>
      <c r="C85" s="39">
        <v>0</v>
      </c>
      <c r="D85" s="39">
        <v>131871.55119999999</v>
      </c>
      <c r="E85" s="39">
        <v>134055.71041575912</v>
      </c>
      <c r="F85" s="39">
        <v>134846.424</v>
      </c>
      <c r="G85" s="39">
        <v>96321.649903266429</v>
      </c>
      <c r="H85" s="40">
        <v>1.6562777914446158E-2</v>
      </c>
      <c r="I85" s="40">
        <v>-0.28569370216842827</v>
      </c>
      <c r="J85" s="40">
        <v>-0.1362510901401538</v>
      </c>
    </row>
    <row r="86" spans="1:10" ht="11.25" customHeight="1" x14ac:dyDescent="0.2">
      <c r="A86" s="49">
        <v>44440</v>
      </c>
      <c r="B86" s="39">
        <v>0</v>
      </c>
      <c r="C86" s="39">
        <v>0</v>
      </c>
      <c r="D86" s="39">
        <v>11773.42145</v>
      </c>
      <c r="E86" s="39">
        <v>11968.422014769531</v>
      </c>
      <c r="F86" s="39">
        <v>12039.016500000002</v>
      </c>
      <c r="G86" s="39">
        <v>8599.5453056482093</v>
      </c>
      <c r="H86" s="40">
        <v>1.6562777914446603E-2</v>
      </c>
      <c r="I86" s="40">
        <v>-0.28569370216842815</v>
      </c>
      <c r="J86" s="40">
        <v>-0.13625109014015346</v>
      </c>
    </row>
    <row r="87" spans="1:10" ht="11.25" customHeight="1" x14ac:dyDescent="0.2">
      <c r="A87" s="49">
        <v>44470</v>
      </c>
      <c r="B87" s="39">
        <v>0</v>
      </c>
      <c r="C87" s="39">
        <v>0</v>
      </c>
      <c r="D87" s="39">
        <v>11508.638650000001</v>
      </c>
      <c r="E87" s="39">
        <v>11699.253676057566</v>
      </c>
      <c r="F87" s="39">
        <v>11768.2605</v>
      </c>
      <c r="G87" s="39">
        <v>8406.142589672525</v>
      </c>
      <c r="H87" s="40">
        <v>1.656277791444638E-2</v>
      </c>
      <c r="I87" s="40">
        <v>-0.28569370216842793</v>
      </c>
      <c r="J87" s="40">
        <v>-0.13625109014015335</v>
      </c>
    </row>
    <row r="88" spans="1:10" ht="11.25" customHeight="1" x14ac:dyDescent="0.2">
      <c r="A88" s="49">
        <v>44501</v>
      </c>
      <c r="B88" s="39">
        <v>0</v>
      </c>
      <c r="C88" s="39">
        <v>0</v>
      </c>
      <c r="D88" s="39">
        <v>10653.560249999999</v>
      </c>
      <c r="E88" s="39">
        <v>10830.012802418923</v>
      </c>
      <c r="F88" s="39">
        <v>10893.8925</v>
      </c>
      <c r="G88" s="39">
        <v>7781.5760206501282</v>
      </c>
      <c r="H88" s="40">
        <v>1.656277791444638E-2</v>
      </c>
      <c r="I88" s="40">
        <v>-0.28569370216842804</v>
      </c>
      <c r="J88" s="40">
        <v>-0.13625109014015346</v>
      </c>
    </row>
    <row r="89" spans="1:10" ht="11.25" customHeight="1" x14ac:dyDescent="0.2">
      <c r="A89" s="49">
        <v>44531</v>
      </c>
      <c r="B89" s="39">
        <v>0</v>
      </c>
      <c r="C89" s="39">
        <v>0</v>
      </c>
      <c r="D89" s="39">
        <v>10020.449999999999</v>
      </c>
      <c r="E89" s="39">
        <v>10186.416487952814</v>
      </c>
      <c r="F89" s="39">
        <v>10246.5</v>
      </c>
      <c r="G89" s="39">
        <v>7319.1394807312017</v>
      </c>
      <c r="H89" s="40">
        <v>1.6562777914446603E-2</v>
      </c>
      <c r="I89" s="40">
        <v>-0.28569370216842804</v>
      </c>
      <c r="J89" s="40">
        <v>-0.13625109014015335</v>
      </c>
    </row>
    <row r="90" spans="1:10" ht="11.25" customHeight="1" x14ac:dyDescent="0.2">
      <c r="A90" s="49">
        <v>44562</v>
      </c>
      <c r="B90" s="39">
        <v>0</v>
      </c>
      <c r="C90" s="39">
        <v>0</v>
      </c>
      <c r="D90" s="39">
        <v>12607.548000000001</v>
      </c>
      <c r="E90" s="39">
        <v>12816.364017569724</v>
      </c>
      <c r="F90" s="39">
        <v>12891.960000000001</v>
      </c>
      <c r="G90" s="39">
        <v>9208.808219392713</v>
      </c>
      <c r="H90" s="40">
        <v>1.656277791444638E-2</v>
      </c>
      <c r="I90" s="40">
        <v>-0.28569370216842804</v>
      </c>
      <c r="J90" s="40">
        <v>-0.13625109014015346</v>
      </c>
    </row>
    <row r="91" spans="1:10" ht="11.25" customHeight="1" x14ac:dyDescent="0.2">
      <c r="A91" s="49">
        <v>44593</v>
      </c>
      <c r="B91" s="39">
        <v>0</v>
      </c>
      <c r="C91" s="39">
        <v>0</v>
      </c>
      <c r="D91" s="39">
        <v>10912.270049999999</v>
      </c>
      <c r="E91" s="39">
        <v>11093.007555380615</v>
      </c>
      <c r="F91" s="39">
        <v>11158.438499999998</v>
      </c>
      <c r="G91" s="39">
        <v>7970.5428945162785</v>
      </c>
      <c r="H91" s="40">
        <v>1.656277791444638E-2</v>
      </c>
      <c r="I91" s="40">
        <v>-0.28569370216842804</v>
      </c>
      <c r="J91" s="40">
        <v>-0.13625109014015324</v>
      </c>
    </row>
    <row r="92" spans="1:10" ht="11.25" customHeight="1" x14ac:dyDescent="0.2">
      <c r="A92" s="49">
        <v>44621</v>
      </c>
      <c r="B92" s="39">
        <v>0</v>
      </c>
      <c r="C92" s="39">
        <v>0</v>
      </c>
      <c r="D92" s="39">
        <v>10441.005249999998</v>
      </c>
      <c r="E92" s="39">
        <v>10613.93730115932</v>
      </c>
      <c r="F92" s="39">
        <v>10676.5425</v>
      </c>
      <c r="G92" s="39">
        <v>7626.3215468164353</v>
      </c>
      <c r="H92" s="40">
        <v>1.6562777914446603E-2</v>
      </c>
      <c r="I92" s="40">
        <v>-0.28569370216842804</v>
      </c>
      <c r="J92" s="40">
        <v>-0.13625109014015346</v>
      </c>
    </row>
    <row r="93" spans="1:10" ht="11.25" customHeight="1" x14ac:dyDescent="0.2">
      <c r="A93" s="49">
        <v>44652</v>
      </c>
      <c r="B93" s="39">
        <v>0</v>
      </c>
      <c r="C93" s="39">
        <v>0</v>
      </c>
      <c r="D93" s="39">
        <v>9724.0875999999989</v>
      </c>
      <c r="E93" s="39">
        <v>9885.1455033394213</v>
      </c>
      <c r="F93" s="39">
        <v>9943.4519999999993</v>
      </c>
      <c r="G93" s="39">
        <v>7102.6703857859402</v>
      </c>
      <c r="H93" s="40">
        <v>1.656277791444638E-2</v>
      </c>
      <c r="I93" s="40">
        <v>-0.28569370216842793</v>
      </c>
      <c r="J93" s="40">
        <v>-0.13625109014015324</v>
      </c>
    </row>
    <row r="94" spans="1:10" ht="11.25" customHeight="1" x14ac:dyDescent="0.2">
      <c r="A94" s="49">
        <v>44682</v>
      </c>
      <c r="B94" s="39">
        <v>0</v>
      </c>
      <c r="C94" s="39">
        <v>0</v>
      </c>
      <c r="D94" s="39">
        <v>10508.415549999998</v>
      </c>
      <c r="E94" s="39">
        <v>10682.464102987364</v>
      </c>
      <c r="F94" s="39">
        <v>10745.473499999998</v>
      </c>
      <c r="G94" s="39">
        <v>7675.5593942322639</v>
      </c>
      <c r="H94" s="40">
        <v>1.656277791444638E-2</v>
      </c>
      <c r="I94" s="40">
        <v>-0.28569370216842793</v>
      </c>
      <c r="J94" s="40">
        <v>-0.13625109014015346</v>
      </c>
    </row>
    <row r="95" spans="1:10" ht="11.25" customHeight="1" x14ac:dyDescent="0.2">
      <c r="A95" s="49">
        <v>44713</v>
      </c>
      <c r="B95" s="39">
        <v>0</v>
      </c>
      <c r="C95" s="39">
        <v>0</v>
      </c>
      <c r="D95" s="39">
        <v>11051.34175</v>
      </c>
      <c r="E95" s="39">
        <v>11234.382669061899</v>
      </c>
      <c r="F95" s="39">
        <v>11300.647499999999</v>
      </c>
      <c r="G95" s="39">
        <v>8072.1236788246097</v>
      </c>
      <c r="H95" s="40">
        <v>1.656277791444638E-2</v>
      </c>
      <c r="I95" s="40">
        <v>-0.28569370216842793</v>
      </c>
      <c r="J95" s="40">
        <v>-0.13625109014015346</v>
      </c>
    </row>
    <row r="96" spans="1:10" ht="11.25" customHeight="1" x14ac:dyDescent="0.2">
      <c r="A96" s="49">
        <v>44743</v>
      </c>
      <c r="B96" s="39">
        <v>0</v>
      </c>
      <c r="C96" s="39">
        <v>0</v>
      </c>
      <c r="D96" s="39">
        <v>10477.443249999998</v>
      </c>
      <c r="E96" s="39">
        <v>10650.978815660965</v>
      </c>
      <c r="F96" s="39">
        <v>10713.8025</v>
      </c>
      <c r="G96" s="39">
        <v>7652.9365994736409</v>
      </c>
      <c r="H96" s="40">
        <v>1.656277791444638E-2</v>
      </c>
      <c r="I96" s="40">
        <v>-0.28569370216842793</v>
      </c>
      <c r="J96" s="40">
        <v>-0.13625109014015346</v>
      </c>
    </row>
    <row r="97" spans="1:10" ht="11.25" customHeight="1" x14ac:dyDescent="0.2">
      <c r="A97" s="49">
        <v>44774</v>
      </c>
      <c r="B97" s="39">
        <v>0</v>
      </c>
      <c r="C97" s="39">
        <v>0</v>
      </c>
      <c r="D97" s="39">
        <v>12193.369399999998</v>
      </c>
      <c r="E97" s="39">
        <v>12395.325469401005</v>
      </c>
      <c r="F97" s="39">
        <v>12468.437999999998</v>
      </c>
      <c r="G97" s="39">
        <v>8906.2837875224886</v>
      </c>
      <c r="H97" s="40">
        <v>1.656277791444638E-2</v>
      </c>
      <c r="I97" s="40">
        <v>-0.28569370216842804</v>
      </c>
      <c r="J97" s="40">
        <v>-0.13625109014015346</v>
      </c>
    </row>
    <row r="98" spans="1:10" ht="11.25" customHeight="1" x14ac:dyDescent="0.2">
      <c r="A98" s="45" t="s">
        <v>27</v>
      </c>
      <c r="B98" s="39">
        <v>0</v>
      </c>
      <c r="C98" s="39">
        <v>0</v>
      </c>
      <c r="D98" s="39">
        <v>184.2912</v>
      </c>
      <c r="E98" s="39">
        <v>175.34302875133616</v>
      </c>
      <c r="F98" s="39">
        <v>257.54790000000003</v>
      </c>
      <c r="G98" s="39">
        <v>183.97655149292518</v>
      </c>
      <c r="H98" s="40">
        <v>-4.8554522672074607E-2</v>
      </c>
      <c r="I98" s="40">
        <v>-0.28566083632238837</v>
      </c>
      <c r="J98" s="40">
        <v>-0.18676373312307271</v>
      </c>
    </row>
    <row r="99" spans="1:10" ht="11.25" customHeight="1" x14ac:dyDescent="0.2">
      <c r="A99" s="46" t="s">
        <v>25</v>
      </c>
      <c r="B99" s="39">
        <v>0</v>
      </c>
      <c r="C99" s="39">
        <v>0</v>
      </c>
      <c r="D99" s="39">
        <v>184.2912</v>
      </c>
      <c r="E99" s="39">
        <v>175.34302875133616</v>
      </c>
      <c r="F99" s="39">
        <v>257.54790000000003</v>
      </c>
      <c r="G99" s="39">
        <v>183.97655149292518</v>
      </c>
      <c r="H99" s="40">
        <v>-4.8554522672074607E-2</v>
      </c>
      <c r="I99" s="40">
        <v>-0.28566083632238837</v>
      </c>
      <c r="J99" s="40">
        <v>-0.18676373312307271</v>
      </c>
    </row>
    <row r="100" spans="1:10" ht="11.25" customHeight="1" x14ac:dyDescent="0.2">
      <c r="A100" s="47" t="s">
        <v>25</v>
      </c>
      <c r="B100" s="39">
        <v>0</v>
      </c>
      <c r="C100" s="39">
        <v>0</v>
      </c>
      <c r="D100" s="39">
        <v>184.2912</v>
      </c>
      <c r="E100" s="39">
        <v>175.34302875133616</v>
      </c>
      <c r="F100" s="39">
        <v>257.54790000000003</v>
      </c>
      <c r="G100" s="39">
        <v>183.97655149292518</v>
      </c>
      <c r="H100" s="40">
        <v>-4.8554522672074607E-2</v>
      </c>
      <c r="I100" s="40">
        <v>-0.28566083632238837</v>
      </c>
      <c r="J100" s="40">
        <v>-0.18676373312307271</v>
      </c>
    </row>
    <row r="101" spans="1:10" ht="11.25" customHeight="1" x14ac:dyDescent="0.2">
      <c r="A101" s="48" t="s">
        <v>25</v>
      </c>
      <c r="B101" s="39">
        <v>0</v>
      </c>
      <c r="C101" s="39">
        <v>0</v>
      </c>
      <c r="D101" s="39">
        <v>184.2912</v>
      </c>
      <c r="E101" s="39">
        <v>175.34302875133616</v>
      </c>
      <c r="F101" s="39">
        <v>257.54790000000003</v>
      </c>
      <c r="G101" s="39">
        <v>183.97655149292518</v>
      </c>
      <c r="H101" s="40">
        <v>-4.8554522672074607E-2</v>
      </c>
      <c r="I101" s="40">
        <v>-0.28566083632238837</v>
      </c>
      <c r="J101" s="40">
        <v>-0.18676373312307271</v>
      </c>
    </row>
    <row r="102" spans="1:10" ht="11.25" customHeight="1" x14ac:dyDescent="0.2">
      <c r="A102" s="49">
        <v>44440</v>
      </c>
      <c r="B102" s="39">
        <v>0</v>
      </c>
      <c r="C102" s="39">
        <v>0</v>
      </c>
      <c r="D102" s="39">
        <v>4.6656000000000004</v>
      </c>
      <c r="E102" s="39">
        <v>4.4390640190211688</v>
      </c>
      <c r="F102" s="39">
        <v>6.5202</v>
      </c>
      <c r="G102" s="39">
        <v>4.6576342150107646</v>
      </c>
      <c r="H102" s="40">
        <v>-4.8554522672074718E-2</v>
      </c>
      <c r="I102" s="40">
        <v>-0.28566083632238815</v>
      </c>
      <c r="J102" s="40">
        <v>-0.18676373312307271</v>
      </c>
    </row>
    <row r="103" spans="1:10" ht="11.25" customHeight="1" x14ac:dyDescent="0.2">
      <c r="A103" s="49">
        <v>44470</v>
      </c>
      <c r="B103" s="39">
        <v>0</v>
      </c>
      <c r="C103" s="39">
        <v>0</v>
      </c>
      <c r="D103" s="39">
        <v>4.6656000000000004</v>
      </c>
      <c r="E103" s="39">
        <v>4.4390640190211688</v>
      </c>
      <c r="F103" s="39">
        <v>6.5202</v>
      </c>
      <c r="G103" s="39">
        <v>4.6576342150107646</v>
      </c>
      <c r="H103" s="40">
        <v>-4.8554522672074718E-2</v>
      </c>
      <c r="I103" s="40">
        <v>-0.28566083632238815</v>
      </c>
      <c r="J103" s="40">
        <v>-0.18676373312307271</v>
      </c>
    </row>
    <row r="104" spans="1:10" ht="11.25" customHeight="1" x14ac:dyDescent="0.2">
      <c r="A104" s="49">
        <v>44501</v>
      </c>
      <c r="B104" s="39">
        <v>0</v>
      </c>
      <c r="C104" s="39">
        <v>0</v>
      </c>
      <c r="D104" s="39">
        <v>6.9984000000000002</v>
      </c>
      <c r="E104" s="39">
        <v>6.6585960285317531</v>
      </c>
      <c r="F104" s="39">
        <v>9.7803000000000004</v>
      </c>
      <c r="G104" s="39">
        <v>6.986451322516146</v>
      </c>
      <c r="H104" s="40">
        <v>-4.8554522672074607E-2</v>
      </c>
      <c r="I104" s="40">
        <v>-0.28566083632238826</v>
      </c>
      <c r="J104" s="40">
        <v>-0.18676373312307271</v>
      </c>
    </row>
    <row r="105" spans="1:10" ht="11.25" customHeight="1" x14ac:dyDescent="0.2">
      <c r="A105" s="49">
        <v>44531</v>
      </c>
      <c r="B105" s="39">
        <v>0</v>
      </c>
      <c r="C105" s="39">
        <v>0</v>
      </c>
      <c r="D105" s="39">
        <v>6.9984000000000002</v>
      </c>
      <c r="E105" s="39">
        <v>6.6585960285317531</v>
      </c>
      <c r="F105" s="39">
        <v>9.7803000000000004</v>
      </c>
      <c r="G105" s="39">
        <v>6.986451322516146</v>
      </c>
      <c r="H105" s="40">
        <v>-4.8554522672074607E-2</v>
      </c>
      <c r="I105" s="40">
        <v>-0.28566083632238826</v>
      </c>
      <c r="J105" s="40">
        <v>-0.18676373312307271</v>
      </c>
    </row>
    <row r="106" spans="1:10" ht="11.25" customHeight="1" x14ac:dyDescent="0.2">
      <c r="A106" s="49">
        <v>44562</v>
      </c>
      <c r="B106" s="39">
        <v>0</v>
      </c>
      <c r="C106" s="39">
        <v>0</v>
      </c>
      <c r="D106" s="39">
        <v>6.9984000000000002</v>
      </c>
      <c r="E106" s="39">
        <v>6.6585960285317531</v>
      </c>
      <c r="F106" s="39">
        <v>9.7803000000000004</v>
      </c>
      <c r="G106" s="39">
        <v>6.986451322516146</v>
      </c>
      <c r="H106" s="40">
        <v>-4.8554522672074607E-2</v>
      </c>
      <c r="I106" s="40">
        <v>-0.28566083632238826</v>
      </c>
      <c r="J106" s="40">
        <v>-0.18676373312307271</v>
      </c>
    </row>
    <row r="107" spans="1:10" ht="11.25" customHeight="1" x14ac:dyDescent="0.2">
      <c r="A107" s="49">
        <v>44593</v>
      </c>
      <c r="B107" s="39">
        <v>0</v>
      </c>
      <c r="C107" s="39">
        <v>0</v>
      </c>
      <c r="D107" s="39">
        <v>13.9968</v>
      </c>
      <c r="E107" s="39">
        <v>13.317192057063506</v>
      </c>
      <c r="F107" s="39">
        <v>19.560600000000001</v>
      </c>
      <c r="G107" s="39">
        <v>13.972902645032292</v>
      </c>
      <c r="H107" s="40">
        <v>-4.8554522672074607E-2</v>
      </c>
      <c r="I107" s="40">
        <v>-0.28566083632238826</v>
      </c>
      <c r="J107" s="40">
        <v>-0.18676373312307271</v>
      </c>
    </row>
    <row r="108" spans="1:10" ht="11.25" customHeight="1" x14ac:dyDescent="0.2">
      <c r="A108" s="49">
        <v>44621</v>
      </c>
      <c r="B108" s="39">
        <v>0</v>
      </c>
      <c r="C108" s="39">
        <v>0</v>
      </c>
      <c r="D108" s="39">
        <v>23.327999999999999</v>
      </c>
      <c r="E108" s="39">
        <v>22.195320095105842</v>
      </c>
      <c r="F108" s="39">
        <v>32.600999999999999</v>
      </c>
      <c r="G108" s="39">
        <v>23.288171075053821</v>
      </c>
      <c r="H108" s="40">
        <v>-4.8554522672074607E-2</v>
      </c>
      <c r="I108" s="40">
        <v>-0.28566083632238826</v>
      </c>
      <c r="J108" s="40">
        <v>-0.18676373312307271</v>
      </c>
    </row>
    <row r="109" spans="1:10" ht="11.25" customHeight="1" x14ac:dyDescent="0.2">
      <c r="A109" s="49">
        <v>44652</v>
      </c>
      <c r="B109" s="39">
        <v>0</v>
      </c>
      <c r="C109" s="39">
        <v>0</v>
      </c>
      <c r="D109" s="39">
        <v>23.327999999999999</v>
      </c>
      <c r="E109" s="39">
        <v>22.195320095105842</v>
      </c>
      <c r="F109" s="39">
        <v>32.600999999999999</v>
      </c>
      <c r="G109" s="39">
        <v>23.288171075053821</v>
      </c>
      <c r="H109" s="40">
        <v>-4.8554522672074607E-2</v>
      </c>
      <c r="I109" s="40">
        <v>-0.28566083632238826</v>
      </c>
      <c r="J109" s="40">
        <v>-0.18676373312307271</v>
      </c>
    </row>
    <row r="110" spans="1:10" ht="11.25" customHeight="1" x14ac:dyDescent="0.2">
      <c r="A110" s="49">
        <v>44682</v>
      </c>
      <c r="B110" s="39">
        <v>0</v>
      </c>
      <c r="C110" s="39">
        <v>0</v>
      </c>
      <c r="D110" s="39">
        <v>23.327999999999999</v>
      </c>
      <c r="E110" s="39">
        <v>22.195320095105842</v>
      </c>
      <c r="F110" s="39">
        <v>32.600999999999999</v>
      </c>
      <c r="G110" s="39">
        <v>23.288171075053821</v>
      </c>
      <c r="H110" s="40">
        <v>-4.8554522672074607E-2</v>
      </c>
      <c r="I110" s="40">
        <v>-0.28566083632238826</v>
      </c>
      <c r="J110" s="40">
        <v>-0.18676373312307271</v>
      </c>
    </row>
    <row r="111" spans="1:10" ht="11.25" customHeight="1" x14ac:dyDescent="0.2">
      <c r="A111" s="49">
        <v>44713</v>
      </c>
      <c r="B111" s="39">
        <v>0</v>
      </c>
      <c r="C111" s="39">
        <v>0</v>
      </c>
      <c r="D111" s="39">
        <v>23.327999999999999</v>
      </c>
      <c r="E111" s="39">
        <v>22.195320095105842</v>
      </c>
      <c r="F111" s="39">
        <v>32.600999999999999</v>
      </c>
      <c r="G111" s="39">
        <v>23.288171075053821</v>
      </c>
      <c r="H111" s="40">
        <v>-4.8554522672074607E-2</v>
      </c>
      <c r="I111" s="40">
        <v>-0.28566083632238826</v>
      </c>
      <c r="J111" s="40">
        <v>-0.18676373312307271</v>
      </c>
    </row>
    <row r="112" spans="1:10" ht="11.25" customHeight="1" x14ac:dyDescent="0.2">
      <c r="A112" s="49">
        <v>44743</v>
      </c>
      <c r="B112" s="39">
        <v>0</v>
      </c>
      <c r="C112" s="39">
        <v>0</v>
      </c>
      <c r="D112" s="39">
        <v>23.327999999999999</v>
      </c>
      <c r="E112" s="39">
        <v>22.195320095105842</v>
      </c>
      <c r="F112" s="39">
        <v>32.600999999999999</v>
      </c>
      <c r="G112" s="39">
        <v>23.288171075053821</v>
      </c>
      <c r="H112" s="40">
        <v>-4.8554522672074607E-2</v>
      </c>
      <c r="I112" s="40">
        <v>-0.28566083632238826</v>
      </c>
      <c r="J112" s="40">
        <v>-0.18676373312307271</v>
      </c>
    </row>
    <row r="113" spans="1:10" ht="11.25" customHeight="1" x14ac:dyDescent="0.2">
      <c r="A113" s="49">
        <v>44774</v>
      </c>
      <c r="B113" s="39">
        <v>0</v>
      </c>
      <c r="C113" s="39">
        <v>0</v>
      </c>
      <c r="D113" s="39">
        <v>23.327999999999999</v>
      </c>
      <c r="E113" s="39">
        <v>22.195320095105842</v>
      </c>
      <c r="F113" s="39">
        <v>32.600999999999999</v>
      </c>
      <c r="G113" s="39">
        <v>23.288171075053821</v>
      </c>
      <c r="H113" s="40">
        <v>-4.8554522672074607E-2</v>
      </c>
      <c r="I113" s="40">
        <v>-0.28566083632238826</v>
      </c>
      <c r="J113" s="40">
        <v>-0.18676373312307271</v>
      </c>
    </row>
    <row r="114" spans="1:10" ht="11.25" customHeight="1" x14ac:dyDescent="0.2">
      <c r="A114" s="45" t="s">
        <v>28</v>
      </c>
      <c r="B114" s="39">
        <v>0</v>
      </c>
      <c r="C114" s="39">
        <v>0</v>
      </c>
      <c r="D114" s="39">
        <v>576.83236999999997</v>
      </c>
      <c r="E114" s="39">
        <v>548.79514315155996</v>
      </c>
      <c r="F114" s="39">
        <v>806.12009999999998</v>
      </c>
      <c r="G114" s="39">
        <v>575.81666423861657</v>
      </c>
      <c r="H114" s="40">
        <v>-4.860550188686541E-2</v>
      </c>
      <c r="I114" s="40">
        <v>-0.28569370216842804</v>
      </c>
      <c r="J114" s="40">
        <v>-0.18680371756364367</v>
      </c>
    </row>
    <row r="115" spans="1:10" ht="11.25" customHeight="1" x14ac:dyDescent="0.2">
      <c r="A115" s="46" t="s">
        <v>25</v>
      </c>
      <c r="B115" s="39">
        <v>0</v>
      </c>
      <c r="C115" s="39">
        <v>0</v>
      </c>
      <c r="D115" s="39">
        <v>576.83236999999997</v>
      </c>
      <c r="E115" s="39">
        <v>548.79514315155996</v>
      </c>
      <c r="F115" s="39">
        <v>806.12009999999998</v>
      </c>
      <c r="G115" s="39">
        <v>575.81666423861657</v>
      </c>
      <c r="H115" s="40">
        <v>-4.860550188686541E-2</v>
      </c>
      <c r="I115" s="40">
        <v>-0.28569370216842804</v>
      </c>
      <c r="J115" s="40">
        <v>-0.18680371756364367</v>
      </c>
    </row>
    <row r="116" spans="1:10" ht="11.25" customHeight="1" x14ac:dyDescent="0.2">
      <c r="A116" s="47" t="s">
        <v>25</v>
      </c>
      <c r="B116" s="39">
        <v>0</v>
      </c>
      <c r="C116" s="39">
        <v>0</v>
      </c>
      <c r="D116" s="39">
        <v>576.83236999999997</v>
      </c>
      <c r="E116" s="39">
        <v>548.79514315155996</v>
      </c>
      <c r="F116" s="39">
        <v>806.12009999999998</v>
      </c>
      <c r="G116" s="39">
        <v>575.81666423861657</v>
      </c>
      <c r="H116" s="40">
        <v>-4.860550188686541E-2</v>
      </c>
      <c r="I116" s="40">
        <v>-0.28569370216842804</v>
      </c>
      <c r="J116" s="40">
        <v>-0.18680371756364367</v>
      </c>
    </row>
    <row r="117" spans="1:10" ht="11.25" customHeight="1" x14ac:dyDescent="0.2">
      <c r="A117" s="48" t="s">
        <v>25</v>
      </c>
      <c r="B117" s="39">
        <v>0</v>
      </c>
      <c r="C117" s="39">
        <v>0</v>
      </c>
      <c r="D117" s="39">
        <v>576.83236999999997</v>
      </c>
      <c r="E117" s="39">
        <v>548.79514315155996</v>
      </c>
      <c r="F117" s="39">
        <v>806.12009999999998</v>
      </c>
      <c r="G117" s="39">
        <v>575.81666423861657</v>
      </c>
      <c r="H117" s="40">
        <v>-4.860550188686541E-2</v>
      </c>
      <c r="I117" s="40">
        <v>-0.28569370216842804</v>
      </c>
      <c r="J117" s="40">
        <v>-0.18680371756364367</v>
      </c>
    </row>
    <row r="118" spans="1:10" ht="11.25" customHeight="1" x14ac:dyDescent="0.2">
      <c r="A118" s="49">
        <v>44440</v>
      </c>
      <c r="B118" s="39">
        <v>0</v>
      </c>
      <c r="C118" s="39">
        <v>0</v>
      </c>
      <c r="D118" s="39">
        <v>17.596920000000001</v>
      </c>
      <c r="E118" s="39">
        <v>16.741612871736979</v>
      </c>
      <c r="F118" s="39">
        <v>24.591600000000003</v>
      </c>
      <c r="G118" s="39">
        <v>17.565934753754885</v>
      </c>
      <c r="H118" s="40">
        <v>-4.8605501886865521E-2</v>
      </c>
      <c r="I118" s="40">
        <v>-0.28569370216842815</v>
      </c>
      <c r="J118" s="40">
        <v>-0.18680371756364389</v>
      </c>
    </row>
    <row r="119" spans="1:10" ht="11.25" customHeight="1" x14ac:dyDescent="0.2">
      <c r="A119" s="49">
        <v>44470</v>
      </c>
      <c r="B119" s="39">
        <v>0</v>
      </c>
      <c r="C119" s="39">
        <v>0</v>
      </c>
      <c r="D119" s="39">
        <v>17.730230000000002</v>
      </c>
      <c r="E119" s="39">
        <v>16.868443272280441</v>
      </c>
      <c r="F119" s="39">
        <v>24.777900000000002</v>
      </c>
      <c r="G119" s="39">
        <v>17.699010017040909</v>
      </c>
      <c r="H119" s="40">
        <v>-4.8605501886865632E-2</v>
      </c>
      <c r="I119" s="40">
        <v>-0.28569370216842804</v>
      </c>
      <c r="J119" s="40">
        <v>-0.18680371756364389</v>
      </c>
    </row>
    <row r="120" spans="1:10" ht="11.25" customHeight="1" x14ac:dyDescent="0.2">
      <c r="A120" s="49">
        <v>44501</v>
      </c>
      <c r="B120" s="39">
        <v>0</v>
      </c>
      <c r="C120" s="39">
        <v>0</v>
      </c>
      <c r="D120" s="39">
        <v>27.995100000000001</v>
      </c>
      <c r="E120" s="39">
        <v>26.634384114127013</v>
      </c>
      <c r="F120" s="39">
        <v>39.122999999999998</v>
      </c>
      <c r="G120" s="39">
        <v>27.945805290064587</v>
      </c>
      <c r="H120" s="40">
        <v>-4.8605501886865521E-2</v>
      </c>
      <c r="I120" s="40">
        <v>-0.28569370216842804</v>
      </c>
      <c r="J120" s="40">
        <v>-0.18680371756364378</v>
      </c>
    </row>
    <row r="121" spans="1:10" ht="11.25" customHeight="1" x14ac:dyDescent="0.2">
      <c r="A121" s="49">
        <v>44531</v>
      </c>
      <c r="B121" s="39">
        <v>0</v>
      </c>
      <c r="C121" s="39">
        <v>0</v>
      </c>
      <c r="D121" s="39">
        <v>27.995100000000001</v>
      </c>
      <c r="E121" s="39">
        <v>26.634384114127013</v>
      </c>
      <c r="F121" s="39">
        <v>39.122999999999998</v>
      </c>
      <c r="G121" s="39">
        <v>27.945805290064587</v>
      </c>
      <c r="H121" s="40">
        <v>-4.8605501886865521E-2</v>
      </c>
      <c r="I121" s="40">
        <v>-0.28569370216842804</v>
      </c>
      <c r="J121" s="40">
        <v>-0.18680371756364378</v>
      </c>
    </row>
    <row r="122" spans="1:10" ht="11.25" customHeight="1" x14ac:dyDescent="0.2">
      <c r="A122" s="49">
        <v>44562</v>
      </c>
      <c r="B122" s="39">
        <v>0</v>
      </c>
      <c r="C122" s="39">
        <v>0</v>
      </c>
      <c r="D122" s="39">
        <v>27.995100000000001</v>
      </c>
      <c r="E122" s="39">
        <v>26.634384114127013</v>
      </c>
      <c r="F122" s="39">
        <v>39.122999999999998</v>
      </c>
      <c r="G122" s="39">
        <v>27.945805290064587</v>
      </c>
      <c r="H122" s="40">
        <v>-4.8605501886865521E-2</v>
      </c>
      <c r="I122" s="40">
        <v>-0.28569370216842804</v>
      </c>
      <c r="J122" s="40">
        <v>-0.18680371756364378</v>
      </c>
    </row>
    <row r="123" spans="1:10" ht="11.25" customHeight="1" x14ac:dyDescent="0.2">
      <c r="A123" s="49">
        <v>44593</v>
      </c>
      <c r="B123" s="39">
        <v>0</v>
      </c>
      <c r="C123" s="39">
        <v>0</v>
      </c>
      <c r="D123" s="39">
        <v>55.990200000000002</v>
      </c>
      <c r="E123" s="39">
        <v>53.268768228254025</v>
      </c>
      <c r="F123" s="39">
        <v>78.245999999999995</v>
      </c>
      <c r="G123" s="39">
        <v>55.891610580129175</v>
      </c>
      <c r="H123" s="40">
        <v>-4.8605501886865521E-2</v>
      </c>
      <c r="I123" s="40">
        <v>-0.28569370216842804</v>
      </c>
      <c r="J123" s="40">
        <v>-0.18680371756364378</v>
      </c>
    </row>
    <row r="124" spans="1:10" ht="11.25" customHeight="1" x14ac:dyDescent="0.2">
      <c r="A124" s="49">
        <v>44621</v>
      </c>
      <c r="B124" s="39">
        <v>0</v>
      </c>
      <c r="C124" s="39">
        <v>0</v>
      </c>
      <c r="D124" s="39">
        <v>74.786910000000006</v>
      </c>
      <c r="E124" s="39">
        <v>71.151854704882169</v>
      </c>
      <c r="F124" s="39">
        <v>104.51430000000002</v>
      </c>
      <c r="G124" s="39">
        <v>74.655222703458264</v>
      </c>
      <c r="H124" s="40">
        <v>-4.860550188686541E-2</v>
      </c>
      <c r="I124" s="40">
        <v>-0.28569370216842815</v>
      </c>
      <c r="J124" s="40">
        <v>-0.18680371756364378</v>
      </c>
    </row>
    <row r="125" spans="1:10" ht="11.25" customHeight="1" x14ac:dyDescent="0.2">
      <c r="A125" s="49">
        <v>44652</v>
      </c>
      <c r="B125" s="39">
        <v>0</v>
      </c>
      <c r="C125" s="39">
        <v>0</v>
      </c>
      <c r="D125" s="39">
        <v>65.588520000000003</v>
      </c>
      <c r="E125" s="39">
        <v>62.400557067383282</v>
      </c>
      <c r="F125" s="39">
        <v>91.659599999999998</v>
      </c>
      <c r="G125" s="39">
        <v>65.473029536722748</v>
      </c>
      <c r="H125" s="40">
        <v>-4.8605501886865521E-2</v>
      </c>
      <c r="I125" s="40">
        <v>-0.28569370216842804</v>
      </c>
      <c r="J125" s="40">
        <v>-0.18680371756364378</v>
      </c>
    </row>
    <row r="126" spans="1:10" ht="11.25" customHeight="1" x14ac:dyDescent="0.2">
      <c r="A126" s="49">
        <v>44682</v>
      </c>
      <c r="B126" s="39">
        <v>0</v>
      </c>
      <c r="C126" s="39">
        <v>0</v>
      </c>
      <c r="D126" s="39">
        <v>65.98845</v>
      </c>
      <c r="E126" s="39">
        <v>62.781048269013674</v>
      </c>
      <c r="F126" s="39">
        <v>92.218500000000006</v>
      </c>
      <c r="G126" s="39">
        <v>65.872255326580813</v>
      </c>
      <c r="H126" s="40">
        <v>-4.860550188686541E-2</v>
      </c>
      <c r="I126" s="40">
        <v>-0.28569370216842815</v>
      </c>
      <c r="J126" s="40">
        <v>-0.18680371756364389</v>
      </c>
    </row>
    <row r="127" spans="1:10" ht="11.25" customHeight="1" x14ac:dyDescent="0.2">
      <c r="A127" s="49">
        <v>44713</v>
      </c>
      <c r="B127" s="39">
        <v>0</v>
      </c>
      <c r="C127" s="39">
        <v>0</v>
      </c>
      <c r="D127" s="39">
        <v>64.122109999999992</v>
      </c>
      <c r="E127" s="39">
        <v>61.005422661405198</v>
      </c>
      <c r="F127" s="39">
        <v>89.610300000000009</v>
      </c>
      <c r="G127" s="39">
        <v>64.009201640576507</v>
      </c>
      <c r="H127" s="40">
        <v>-4.860550188686541E-2</v>
      </c>
      <c r="I127" s="40">
        <v>-0.28569370216842815</v>
      </c>
      <c r="J127" s="40">
        <v>-0.18680371756364389</v>
      </c>
    </row>
    <row r="128" spans="1:10" ht="11.25" customHeight="1" x14ac:dyDescent="0.2">
      <c r="A128" s="49">
        <v>44743</v>
      </c>
      <c r="B128" s="39">
        <v>0</v>
      </c>
      <c r="C128" s="39">
        <v>0</v>
      </c>
      <c r="D128" s="39">
        <v>65.188590000000005</v>
      </c>
      <c r="E128" s="39">
        <v>62.020065865752898</v>
      </c>
      <c r="F128" s="39">
        <v>91.100700000000003</v>
      </c>
      <c r="G128" s="39">
        <v>65.073803746864684</v>
      </c>
      <c r="H128" s="40">
        <v>-4.8605501886865632E-2</v>
      </c>
      <c r="I128" s="40">
        <v>-0.28569370216842815</v>
      </c>
      <c r="J128" s="40">
        <v>-0.18680371756364378</v>
      </c>
    </row>
    <row r="129" spans="1:10" ht="11.25" customHeight="1" x14ac:dyDescent="0.2">
      <c r="A129" s="49">
        <v>44774</v>
      </c>
      <c r="B129" s="39">
        <v>0</v>
      </c>
      <c r="C129" s="39">
        <v>0</v>
      </c>
      <c r="D129" s="39">
        <v>65.855140000000006</v>
      </c>
      <c r="E129" s="39">
        <v>62.654217868470212</v>
      </c>
      <c r="F129" s="39">
        <v>92.032200000000003</v>
      </c>
      <c r="G129" s="39">
        <v>65.739180063294796</v>
      </c>
      <c r="H129" s="40">
        <v>-4.8605501886865521E-2</v>
      </c>
      <c r="I129" s="40">
        <v>-0.28569370216842804</v>
      </c>
      <c r="J129" s="40">
        <v>-0.18680371756364367</v>
      </c>
    </row>
    <row r="130" spans="1:10" ht="11.25" customHeight="1" x14ac:dyDescent="0.2">
      <c r="A130" s="45" t="s">
        <v>29</v>
      </c>
      <c r="B130" s="39">
        <v>0</v>
      </c>
      <c r="C130" s="39">
        <v>0</v>
      </c>
      <c r="D130" s="39">
        <v>1158.3682799999999</v>
      </c>
      <c r="E130" s="39">
        <v>1102.0927655224127</v>
      </c>
      <c r="F130" s="39">
        <v>1618.85385</v>
      </c>
      <c r="G130" s="39">
        <v>1156.3575003238871</v>
      </c>
      <c r="H130" s="40">
        <v>-4.8581712266488553E-2</v>
      </c>
      <c r="I130" s="40">
        <v>-0.28569370216842793</v>
      </c>
      <c r="J130" s="40">
        <v>-0.18679523634420281</v>
      </c>
    </row>
    <row r="131" spans="1:10" ht="11.25" customHeight="1" x14ac:dyDescent="0.2">
      <c r="A131" s="46" t="s">
        <v>25</v>
      </c>
      <c r="B131" s="39">
        <v>0</v>
      </c>
      <c r="C131" s="39">
        <v>0</v>
      </c>
      <c r="D131" s="39">
        <v>1158.3682799999999</v>
      </c>
      <c r="E131" s="39">
        <v>1102.0927655224127</v>
      </c>
      <c r="F131" s="39">
        <v>1618.85385</v>
      </c>
      <c r="G131" s="39">
        <v>1156.3575003238871</v>
      </c>
      <c r="H131" s="40">
        <v>-4.8581712266488553E-2</v>
      </c>
      <c r="I131" s="40">
        <v>-0.28569370216842793</v>
      </c>
      <c r="J131" s="40">
        <v>-0.18679523634420281</v>
      </c>
    </row>
    <row r="132" spans="1:10" ht="11.25" customHeight="1" x14ac:dyDescent="0.2">
      <c r="A132" s="47" t="s">
        <v>25</v>
      </c>
      <c r="B132" s="39">
        <v>0</v>
      </c>
      <c r="C132" s="39">
        <v>0</v>
      </c>
      <c r="D132" s="39">
        <v>1158.3682799999999</v>
      </c>
      <c r="E132" s="39">
        <v>1102.0927655224127</v>
      </c>
      <c r="F132" s="39">
        <v>1618.85385</v>
      </c>
      <c r="G132" s="39">
        <v>1156.3575003238871</v>
      </c>
      <c r="H132" s="40">
        <v>-4.8581712266488553E-2</v>
      </c>
      <c r="I132" s="40">
        <v>-0.28569370216842793</v>
      </c>
      <c r="J132" s="40">
        <v>-0.18679523634420281</v>
      </c>
    </row>
    <row r="133" spans="1:10" ht="11.25" customHeight="1" x14ac:dyDescent="0.2">
      <c r="A133" s="48" t="s">
        <v>25</v>
      </c>
      <c r="B133" s="39">
        <v>0</v>
      </c>
      <c r="C133" s="39">
        <v>0</v>
      </c>
      <c r="D133" s="39">
        <v>1158.3682799999999</v>
      </c>
      <c r="E133" s="39">
        <v>1102.0927655224127</v>
      </c>
      <c r="F133" s="39">
        <v>1618.85385</v>
      </c>
      <c r="G133" s="39">
        <v>1156.3575003238871</v>
      </c>
      <c r="H133" s="40">
        <v>-4.8581712266488553E-2</v>
      </c>
      <c r="I133" s="40">
        <v>-0.28569370216842793</v>
      </c>
      <c r="J133" s="40">
        <v>-0.18679523634420281</v>
      </c>
    </row>
    <row r="134" spans="1:10" ht="11.25" customHeight="1" x14ac:dyDescent="0.2">
      <c r="A134" s="49">
        <v>44440</v>
      </c>
      <c r="B134" s="39">
        <v>0</v>
      </c>
      <c r="C134" s="39">
        <v>0</v>
      </c>
      <c r="D134" s="39">
        <v>23.995200000000001</v>
      </c>
      <c r="E134" s="39">
        <v>22.829472097823153</v>
      </c>
      <c r="F134" s="39">
        <v>33.533999999999999</v>
      </c>
      <c r="G134" s="39">
        <v>23.953547391483934</v>
      </c>
      <c r="H134" s="40">
        <v>-4.8581712266488553E-2</v>
      </c>
      <c r="I134" s="40">
        <v>-0.28569370216842804</v>
      </c>
      <c r="J134" s="40">
        <v>-0.18679523634420292</v>
      </c>
    </row>
    <row r="135" spans="1:10" ht="11.25" customHeight="1" x14ac:dyDescent="0.2">
      <c r="A135" s="49">
        <v>44470</v>
      </c>
      <c r="B135" s="39">
        <v>0</v>
      </c>
      <c r="C135" s="39">
        <v>0</v>
      </c>
      <c r="D135" s="39">
        <v>21.19576</v>
      </c>
      <c r="E135" s="39">
        <v>20.166033686410451</v>
      </c>
      <c r="F135" s="39">
        <v>29.621699999999997</v>
      </c>
      <c r="G135" s="39">
        <v>21.158966862477474</v>
      </c>
      <c r="H135" s="40">
        <v>-4.8581712266488664E-2</v>
      </c>
      <c r="I135" s="40">
        <v>-0.28569370216842804</v>
      </c>
      <c r="J135" s="40">
        <v>-0.1867952363442027</v>
      </c>
    </row>
    <row r="136" spans="1:10" ht="11.25" customHeight="1" x14ac:dyDescent="0.2">
      <c r="A136" s="49">
        <v>44501</v>
      </c>
      <c r="B136" s="39">
        <v>0</v>
      </c>
      <c r="C136" s="39">
        <v>0</v>
      </c>
      <c r="D136" s="39">
        <v>42.991399999999999</v>
      </c>
      <c r="E136" s="39">
        <v>40.902804175266482</v>
      </c>
      <c r="F136" s="39">
        <v>60.08175</v>
      </c>
      <c r="G136" s="39">
        <v>42.916772409742052</v>
      </c>
      <c r="H136" s="40">
        <v>-4.8581712266488553E-2</v>
      </c>
      <c r="I136" s="40">
        <v>-0.28569370216842793</v>
      </c>
      <c r="J136" s="40">
        <v>-0.18679523634420281</v>
      </c>
    </row>
    <row r="137" spans="1:10" ht="11.25" customHeight="1" x14ac:dyDescent="0.2">
      <c r="A137" s="49">
        <v>44531</v>
      </c>
      <c r="B137" s="39">
        <v>0</v>
      </c>
      <c r="C137" s="39">
        <v>0</v>
      </c>
      <c r="D137" s="39">
        <v>42.991399999999999</v>
      </c>
      <c r="E137" s="39">
        <v>40.902804175266482</v>
      </c>
      <c r="F137" s="39">
        <v>60.08175</v>
      </c>
      <c r="G137" s="39">
        <v>42.916772409742052</v>
      </c>
      <c r="H137" s="40">
        <v>-4.8581712266488553E-2</v>
      </c>
      <c r="I137" s="40">
        <v>-0.28569370216842793</v>
      </c>
      <c r="J137" s="40">
        <v>-0.18679523634420281</v>
      </c>
    </row>
    <row r="138" spans="1:10" ht="11.25" customHeight="1" x14ac:dyDescent="0.2">
      <c r="A138" s="49">
        <v>44562</v>
      </c>
      <c r="B138" s="39">
        <v>0</v>
      </c>
      <c r="C138" s="39">
        <v>0</v>
      </c>
      <c r="D138" s="39">
        <v>59.588079999999998</v>
      </c>
      <c r="E138" s="39">
        <v>56.693189042927493</v>
      </c>
      <c r="F138" s="39">
        <v>83.2761</v>
      </c>
      <c r="G138" s="39">
        <v>59.484642688851771</v>
      </c>
      <c r="H138" s="40">
        <v>-4.8581712266488664E-2</v>
      </c>
      <c r="I138" s="40">
        <v>-0.28569370216842804</v>
      </c>
      <c r="J138" s="40">
        <v>-0.18679523634420281</v>
      </c>
    </row>
    <row r="139" spans="1:10" ht="11.25" customHeight="1" x14ac:dyDescent="0.2">
      <c r="A139" s="49">
        <v>44593</v>
      </c>
      <c r="B139" s="39">
        <v>0</v>
      </c>
      <c r="C139" s="39">
        <v>0</v>
      </c>
      <c r="D139" s="39">
        <v>112.97739999999999</v>
      </c>
      <c r="E139" s="39">
        <v>107.48876446058401</v>
      </c>
      <c r="F139" s="39">
        <v>157.88924999999998</v>
      </c>
      <c r="G139" s="39">
        <v>112.78128563490351</v>
      </c>
      <c r="H139" s="40">
        <v>-4.8581712266488553E-2</v>
      </c>
      <c r="I139" s="40">
        <v>-0.28569370216842804</v>
      </c>
      <c r="J139" s="40">
        <v>-0.18679523634420259</v>
      </c>
    </row>
    <row r="140" spans="1:10" ht="11.25" customHeight="1" x14ac:dyDescent="0.2">
      <c r="A140" s="49">
        <v>44621</v>
      </c>
      <c r="B140" s="39">
        <v>0</v>
      </c>
      <c r="C140" s="39">
        <v>0</v>
      </c>
      <c r="D140" s="39">
        <v>155.16896</v>
      </c>
      <c r="E140" s="39">
        <v>147.63058623258974</v>
      </c>
      <c r="F140" s="39">
        <v>216.85319999999999</v>
      </c>
      <c r="G140" s="39">
        <v>154.89960646492946</v>
      </c>
      <c r="H140" s="40">
        <v>-4.8581712266488553E-2</v>
      </c>
      <c r="I140" s="40">
        <v>-0.28569370216842793</v>
      </c>
      <c r="J140" s="40">
        <v>-0.18679523634420281</v>
      </c>
    </row>
    <row r="141" spans="1:10" ht="11.25" customHeight="1" x14ac:dyDescent="0.2">
      <c r="A141" s="49">
        <v>44652</v>
      </c>
      <c r="B141" s="39">
        <v>0</v>
      </c>
      <c r="C141" s="39">
        <v>0</v>
      </c>
      <c r="D141" s="39">
        <v>133.17336</v>
      </c>
      <c r="E141" s="39">
        <v>126.70357014291851</v>
      </c>
      <c r="F141" s="39">
        <v>186.11369999999999</v>
      </c>
      <c r="G141" s="39">
        <v>132.94218802273585</v>
      </c>
      <c r="H141" s="40">
        <v>-4.8581712266488553E-2</v>
      </c>
      <c r="I141" s="40">
        <v>-0.28569370216842793</v>
      </c>
      <c r="J141" s="40">
        <v>-0.18679523634420281</v>
      </c>
    </row>
    <row r="142" spans="1:10" ht="11.25" customHeight="1" x14ac:dyDescent="0.2">
      <c r="A142" s="49">
        <v>44682</v>
      </c>
      <c r="B142" s="39">
        <v>0</v>
      </c>
      <c r="C142" s="39">
        <v>0</v>
      </c>
      <c r="D142" s="39">
        <v>142.17156</v>
      </c>
      <c r="E142" s="39">
        <v>135.26462217960218</v>
      </c>
      <c r="F142" s="39">
        <v>198.68894999999998</v>
      </c>
      <c r="G142" s="39">
        <v>141.9247682945423</v>
      </c>
      <c r="H142" s="40">
        <v>-4.8581712266488553E-2</v>
      </c>
      <c r="I142" s="40">
        <v>-0.28569370216842793</v>
      </c>
      <c r="J142" s="40">
        <v>-0.18679523634420281</v>
      </c>
    </row>
    <row r="143" spans="1:10" ht="11.25" customHeight="1" x14ac:dyDescent="0.2">
      <c r="A143" s="49">
        <v>44713</v>
      </c>
      <c r="B143" s="39">
        <v>0</v>
      </c>
      <c r="C143" s="39">
        <v>0</v>
      </c>
      <c r="D143" s="39">
        <v>139.17215999999999</v>
      </c>
      <c r="E143" s="39">
        <v>132.41093816737427</v>
      </c>
      <c r="F143" s="39">
        <v>194.49719999999999</v>
      </c>
      <c r="G143" s="39">
        <v>138.93057487060682</v>
      </c>
      <c r="H143" s="40">
        <v>-4.8581712266488664E-2</v>
      </c>
      <c r="I143" s="40">
        <v>-0.28569370216842804</v>
      </c>
      <c r="J143" s="40">
        <v>-0.18679523634420281</v>
      </c>
    </row>
    <row r="144" spans="1:10" ht="11.25" customHeight="1" x14ac:dyDescent="0.2">
      <c r="A144" s="49">
        <v>44743</v>
      </c>
      <c r="B144" s="39">
        <v>0</v>
      </c>
      <c r="C144" s="39">
        <v>0</v>
      </c>
      <c r="D144" s="39">
        <v>139.97200000000001</v>
      </c>
      <c r="E144" s="39">
        <v>133.17192057063505</v>
      </c>
      <c r="F144" s="39">
        <v>195.61499999999998</v>
      </c>
      <c r="G144" s="39">
        <v>139.72902645032295</v>
      </c>
      <c r="H144" s="40">
        <v>-4.8581712266488664E-2</v>
      </c>
      <c r="I144" s="40">
        <v>-0.28569370216842793</v>
      </c>
      <c r="J144" s="40">
        <v>-0.1867952363442027</v>
      </c>
    </row>
    <row r="145" spans="1:10" ht="11.25" customHeight="1" x14ac:dyDescent="0.2">
      <c r="A145" s="49">
        <v>44774</v>
      </c>
      <c r="B145" s="39">
        <v>0</v>
      </c>
      <c r="C145" s="39">
        <v>0</v>
      </c>
      <c r="D145" s="39">
        <v>144.971</v>
      </c>
      <c r="E145" s="39">
        <v>137.92806059101488</v>
      </c>
      <c r="F145" s="39">
        <v>202.60124999999999</v>
      </c>
      <c r="G145" s="39">
        <v>144.71934882354876</v>
      </c>
      <c r="H145" s="40">
        <v>-4.8581712266488553E-2</v>
      </c>
      <c r="I145" s="40">
        <v>-0.28569370216842804</v>
      </c>
      <c r="J145" s="40">
        <v>-0.18679523634420281</v>
      </c>
    </row>
    <row r="146" spans="1:10" ht="11.25" customHeight="1" x14ac:dyDescent="0.2">
      <c r="A146" s="45" t="s">
        <v>30</v>
      </c>
      <c r="B146" s="39">
        <v>0</v>
      </c>
      <c r="C146" s="39">
        <v>0</v>
      </c>
      <c r="D146" s="39">
        <v>466.35582000000005</v>
      </c>
      <c r="E146" s="39">
        <v>443.69501790121109</v>
      </c>
      <c r="F146" s="39">
        <v>651.73950000000002</v>
      </c>
      <c r="G146" s="39">
        <v>465.54162939559978</v>
      </c>
      <c r="H146" s="40">
        <v>-4.8591228257404362E-2</v>
      </c>
      <c r="I146" s="40">
        <v>-0.28569370216842804</v>
      </c>
      <c r="J146" s="40">
        <v>-0.18679862885320841</v>
      </c>
    </row>
    <row r="147" spans="1:10" ht="11.25" customHeight="1" x14ac:dyDescent="0.2">
      <c r="A147" s="46" t="s">
        <v>25</v>
      </c>
      <c r="B147" s="39">
        <v>0</v>
      </c>
      <c r="C147" s="39">
        <v>0</v>
      </c>
      <c r="D147" s="39">
        <v>466.35582000000005</v>
      </c>
      <c r="E147" s="39">
        <v>443.69501790121109</v>
      </c>
      <c r="F147" s="39">
        <v>651.73950000000002</v>
      </c>
      <c r="G147" s="39">
        <v>465.54162939559978</v>
      </c>
      <c r="H147" s="40">
        <v>-4.8591228257404362E-2</v>
      </c>
      <c r="I147" s="40">
        <v>-0.28569370216842804</v>
      </c>
      <c r="J147" s="40">
        <v>-0.18679862885320841</v>
      </c>
    </row>
    <row r="148" spans="1:10" ht="11.25" customHeight="1" x14ac:dyDescent="0.2">
      <c r="A148" s="47" t="s">
        <v>25</v>
      </c>
      <c r="B148" s="39">
        <v>0</v>
      </c>
      <c r="C148" s="39">
        <v>0</v>
      </c>
      <c r="D148" s="39">
        <v>466.35582000000005</v>
      </c>
      <c r="E148" s="39">
        <v>443.69501790121109</v>
      </c>
      <c r="F148" s="39">
        <v>651.73950000000002</v>
      </c>
      <c r="G148" s="39">
        <v>465.54162939559978</v>
      </c>
      <c r="H148" s="40">
        <v>-4.8591228257404362E-2</v>
      </c>
      <c r="I148" s="40">
        <v>-0.28569370216842804</v>
      </c>
      <c r="J148" s="40">
        <v>-0.18679862885320841</v>
      </c>
    </row>
    <row r="149" spans="1:10" ht="11.25" customHeight="1" x14ac:dyDescent="0.2">
      <c r="A149" s="48" t="s">
        <v>25</v>
      </c>
      <c r="B149" s="39">
        <v>0</v>
      </c>
      <c r="C149" s="39">
        <v>0</v>
      </c>
      <c r="D149" s="39">
        <v>466.35582000000005</v>
      </c>
      <c r="E149" s="39">
        <v>443.69501790121109</v>
      </c>
      <c r="F149" s="39">
        <v>651.73950000000002</v>
      </c>
      <c r="G149" s="39">
        <v>465.54162939559978</v>
      </c>
      <c r="H149" s="40">
        <v>-4.8591228257404362E-2</v>
      </c>
      <c r="I149" s="40">
        <v>-0.28569370216842804</v>
      </c>
      <c r="J149" s="40">
        <v>-0.18679862885320841</v>
      </c>
    </row>
    <row r="150" spans="1:10" ht="11.25" customHeight="1" x14ac:dyDescent="0.2">
      <c r="A150" s="49">
        <v>44440</v>
      </c>
      <c r="B150" s="39">
        <v>0</v>
      </c>
      <c r="C150" s="39">
        <v>0</v>
      </c>
      <c r="D150" s="39">
        <v>1.33308</v>
      </c>
      <c r="E150" s="39">
        <v>1.2683040054346197</v>
      </c>
      <c r="F150" s="39">
        <v>1.863</v>
      </c>
      <c r="G150" s="39">
        <v>1.3307526328602186</v>
      </c>
      <c r="H150" s="40">
        <v>-4.859122825740414E-2</v>
      </c>
      <c r="I150" s="40">
        <v>-0.28569370216842804</v>
      </c>
      <c r="J150" s="40">
        <v>-0.1867986288532083</v>
      </c>
    </row>
    <row r="151" spans="1:10" ht="11.25" customHeight="1" x14ac:dyDescent="0.2">
      <c r="A151" s="49">
        <v>44531</v>
      </c>
      <c r="B151" s="39">
        <v>0</v>
      </c>
      <c r="C151" s="39">
        <v>0</v>
      </c>
      <c r="D151" s="39">
        <v>2.8883399999999999</v>
      </c>
      <c r="E151" s="39">
        <v>2.747992011775009</v>
      </c>
      <c r="F151" s="39">
        <v>4.0365000000000002</v>
      </c>
      <c r="G151" s="39">
        <v>2.8832973711971399</v>
      </c>
      <c r="H151" s="40">
        <v>-4.8591228257404251E-2</v>
      </c>
      <c r="I151" s="40">
        <v>-0.28569370216842815</v>
      </c>
      <c r="J151" s="40">
        <v>-0.1867986288532083</v>
      </c>
    </row>
    <row r="152" spans="1:10" ht="11.25" customHeight="1" x14ac:dyDescent="0.2">
      <c r="A152" s="49">
        <v>44562</v>
      </c>
      <c r="B152" s="39">
        <v>0</v>
      </c>
      <c r="C152" s="39">
        <v>0</v>
      </c>
      <c r="D152" s="39">
        <v>12.442080000000001</v>
      </c>
      <c r="E152" s="39">
        <v>11.837504050723117</v>
      </c>
      <c r="F152" s="39">
        <v>17.388000000000002</v>
      </c>
      <c r="G152" s="39">
        <v>12.420357906695372</v>
      </c>
      <c r="H152" s="40">
        <v>-4.859122825740414E-2</v>
      </c>
      <c r="I152" s="40">
        <v>-0.28569370216842815</v>
      </c>
      <c r="J152" s="40">
        <v>-0.1867986288532083</v>
      </c>
    </row>
    <row r="153" spans="1:10" ht="11.25" customHeight="1" x14ac:dyDescent="0.2">
      <c r="A153" s="49">
        <v>44593</v>
      </c>
      <c r="B153" s="39">
        <v>0</v>
      </c>
      <c r="C153" s="39">
        <v>0</v>
      </c>
      <c r="D153" s="39">
        <v>55.32282</v>
      </c>
      <c r="E153" s="39">
        <v>52.634616225536718</v>
      </c>
      <c r="F153" s="39">
        <v>77.314499999999995</v>
      </c>
      <c r="G153" s="39">
        <v>55.22623426369907</v>
      </c>
      <c r="H153" s="40">
        <v>-4.859122825740414E-2</v>
      </c>
      <c r="I153" s="40">
        <v>-0.28569370216842804</v>
      </c>
      <c r="J153" s="40">
        <v>-0.18679862885320819</v>
      </c>
    </row>
    <row r="154" spans="1:10" ht="11.25" customHeight="1" x14ac:dyDescent="0.2">
      <c r="A154" s="49">
        <v>44621</v>
      </c>
      <c r="B154" s="39">
        <v>0</v>
      </c>
      <c r="C154" s="39">
        <v>0</v>
      </c>
      <c r="D154" s="39">
        <v>39.54804</v>
      </c>
      <c r="E154" s="39">
        <v>37.626352161227047</v>
      </c>
      <c r="F154" s="39">
        <v>55.268999999999998</v>
      </c>
      <c r="G154" s="39">
        <v>39.478994774853149</v>
      </c>
      <c r="H154" s="40">
        <v>-4.8591228257404251E-2</v>
      </c>
      <c r="I154" s="40">
        <v>-0.28569370216842804</v>
      </c>
      <c r="J154" s="40">
        <v>-0.18679862885320819</v>
      </c>
    </row>
    <row r="155" spans="1:10" ht="11.25" customHeight="1" x14ac:dyDescent="0.2">
      <c r="A155" s="49">
        <v>44652</v>
      </c>
      <c r="B155" s="39">
        <v>0</v>
      </c>
      <c r="C155" s="39">
        <v>0</v>
      </c>
      <c r="D155" s="39">
        <v>30.883020000000005</v>
      </c>
      <c r="E155" s="39">
        <v>29.382376125902024</v>
      </c>
      <c r="F155" s="39">
        <v>43.159500000000001</v>
      </c>
      <c r="G155" s="39">
        <v>30.829102661261732</v>
      </c>
      <c r="H155" s="40">
        <v>-4.8591228257404251E-2</v>
      </c>
      <c r="I155" s="40">
        <v>-0.28569370216842804</v>
      </c>
      <c r="J155" s="40">
        <v>-0.1867986288532083</v>
      </c>
    </row>
    <row r="156" spans="1:10" ht="11.25" customHeight="1" x14ac:dyDescent="0.2">
      <c r="A156" s="49">
        <v>44682</v>
      </c>
      <c r="B156" s="39">
        <v>0</v>
      </c>
      <c r="C156" s="39">
        <v>0</v>
      </c>
      <c r="D156" s="39">
        <v>44.880360000000003</v>
      </c>
      <c r="E156" s="39">
        <v>42.699568182965528</v>
      </c>
      <c r="F156" s="39">
        <v>62.721000000000004</v>
      </c>
      <c r="G156" s="39">
        <v>44.802005306294028</v>
      </c>
      <c r="H156" s="40">
        <v>-4.8591228257404251E-2</v>
      </c>
      <c r="I156" s="40">
        <v>-0.28569370216842804</v>
      </c>
      <c r="J156" s="40">
        <v>-0.18679862885320819</v>
      </c>
    </row>
    <row r="157" spans="1:10" ht="11.25" customHeight="1" x14ac:dyDescent="0.2">
      <c r="A157" s="49">
        <v>44713</v>
      </c>
      <c r="B157" s="39">
        <v>0</v>
      </c>
      <c r="C157" s="39">
        <v>0</v>
      </c>
      <c r="D157" s="39">
        <v>137.7516</v>
      </c>
      <c r="E157" s="39">
        <v>131.05808056157736</v>
      </c>
      <c r="F157" s="39">
        <v>192.51</v>
      </c>
      <c r="G157" s="39">
        <v>137.51110539555592</v>
      </c>
      <c r="H157" s="40">
        <v>-4.8591228257404251E-2</v>
      </c>
      <c r="I157" s="40">
        <v>-0.28569370216842804</v>
      </c>
      <c r="J157" s="40">
        <v>-0.18679862885320819</v>
      </c>
    </row>
    <row r="158" spans="1:10" ht="11.25" customHeight="1" x14ac:dyDescent="0.2">
      <c r="A158" s="49">
        <v>44743</v>
      </c>
      <c r="B158" s="39">
        <v>0</v>
      </c>
      <c r="C158" s="39">
        <v>0</v>
      </c>
      <c r="D158" s="39">
        <v>46.657800000000002</v>
      </c>
      <c r="E158" s="39">
        <v>44.390640190211684</v>
      </c>
      <c r="F158" s="39">
        <v>65.204999999999998</v>
      </c>
      <c r="G158" s="39">
        <v>46.576342150107649</v>
      </c>
      <c r="H158" s="40">
        <v>-4.8591228257404251E-2</v>
      </c>
      <c r="I158" s="40">
        <v>-0.28569370216842804</v>
      </c>
      <c r="J158" s="40">
        <v>-0.18679862885320819</v>
      </c>
    </row>
    <row r="159" spans="1:10" ht="11.25" customHeight="1" x14ac:dyDescent="0.2">
      <c r="A159" s="49">
        <v>44774</v>
      </c>
      <c r="B159" s="39">
        <v>0</v>
      </c>
      <c r="C159" s="39">
        <v>0</v>
      </c>
      <c r="D159" s="39">
        <v>94.648679999999999</v>
      </c>
      <c r="E159" s="39">
        <v>90.049584385857997</v>
      </c>
      <c r="F159" s="39">
        <v>132.273</v>
      </c>
      <c r="G159" s="39">
        <v>94.48343693307551</v>
      </c>
      <c r="H159" s="40">
        <v>-4.859122825740414E-2</v>
      </c>
      <c r="I159" s="40">
        <v>-0.28569370216842804</v>
      </c>
      <c r="J159" s="40">
        <v>-0.1867986288532083</v>
      </c>
    </row>
    <row r="160" spans="1:10" ht="11.25" customHeight="1" x14ac:dyDescent="0.2">
      <c r="A160" s="42" t="s">
        <v>39</v>
      </c>
      <c r="B160" s="39">
        <v>0</v>
      </c>
      <c r="C160" s="39">
        <v>0</v>
      </c>
      <c r="D160" s="39">
        <v>1531925.9729819999</v>
      </c>
      <c r="E160" s="39">
        <v>1663491.0986871731</v>
      </c>
      <c r="F160" s="39">
        <v>1566496.4507280001</v>
      </c>
      <c r="G160" s="39">
        <v>1195250.8903053026</v>
      </c>
      <c r="H160" s="40">
        <v>8.5882169259832608E-2</v>
      </c>
      <c r="I160" s="40">
        <v>-0.23699100004354834</v>
      </c>
      <c r="J160" s="40">
        <v>-7.7355635204361395E-2</v>
      </c>
    </row>
    <row r="161" spans="1:10" ht="11.25" customHeight="1" x14ac:dyDescent="0.2">
      <c r="A161" s="43" t="s">
        <v>23</v>
      </c>
      <c r="B161" s="39">
        <v>0</v>
      </c>
      <c r="C161" s="39">
        <v>0</v>
      </c>
      <c r="D161" s="39">
        <v>1531925.9729819999</v>
      </c>
      <c r="E161" s="39">
        <v>1663491.0986871731</v>
      </c>
      <c r="F161" s="39">
        <v>1566496.4507280001</v>
      </c>
      <c r="G161" s="39">
        <v>1195250.8903053026</v>
      </c>
      <c r="H161" s="40">
        <v>8.5882169259832608E-2</v>
      </c>
      <c r="I161" s="40">
        <v>-0.23699100004354834</v>
      </c>
      <c r="J161" s="40">
        <v>-7.7355635204361395E-2</v>
      </c>
    </row>
    <row r="162" spans="1:10" ht="11.25" customHeight="1" x14ac:dyDescent="0.2">
      <c r="A162" s="44" t="s">
        <v>40</v>
      </c>
      <c r="B162" s="39">
        <v>0</v>
      </c>
      <c r="C162" s="39">
        <v>0</v>
      </c>
      <c r="D162" s="39">
        <v>1531925.9729819999</v>
      </c>
      <c r="E162" s="39">
        <v>1663491.0986871731</v>
      </c>
      <c r="F162" s="39">
        <v>1566496.4507280001</v>
      </c>
      <c r="G162" s="39">
        <v>1195250.8903053026</v>
      </c>
      <c r="H162" s="40">
        <v>8.5882169259832608E-2</v>
      </c>
      <c r="I162" s="40">
        <v>-0.23699100004354834</v>
      </c>
      <c r="J162" s="40">
        <v>-7.7355635204361395E-2</v>
      </c>
    </row>
    <row r="163" spans="1:10" ht="11.25" customHeight="1" x14ac:dyDescent="0.2">
      <c r="A163" s="45" t="s">
        <v>48</v>
      </c>
      <c r="B163" s="39">
        <v>0</v>
      </c>
      <c r="C163" s="39">
        <v>0</v>
      </c>
      <c r="D163" s="39">
        <v>237.63706200000001</v>
      </c>
      <c r="E163" s="39">
        <v>258.29912364003212</v>
      </c>
      <c r="F163" s="39">
        <v>243.23824800000003</v>
      </c>
      <c r="G163" s="39">
        <v>185.59297235763944</v>
      </c>
      <c r="H163" s="40">
        <v>8.6947976322111264E-2</v>
      </c>
      <c r="I163" s="40">
        <v>-0.23699100004354823</v>
      </c>
      <c r="J163" s="40">
        <v>-7.6908115749025341E-2</v>
      </c>
    </row>
    <row r="164" spans="1:10" ht="11.25" customHeight="1" x14ac:dyDescent="0.2">
      <c r="A164" s="46" t="s">
        <v>49</v>
      </c>
      <c r="B164" s="39">
        <v>0</v>
      </c>
      <c r="C164" s="39">
        <v>0</v>
      </c>
      <c r="D164" s="39">
        <v>232.73991000000001</v>
      </c>
      <c r="E164" s="39">
        <v>252.72807985898447</v>
      </c>
      <c r="F164" s="39">
        <v>237.99204</v>
      </c>
      <c r="G164" s="39">
        <v>181.59006843799588</v>
      </c>
      <c r="H164" s="40">
        <v>8.588200390291667E-2</v>
      </c>
      <c r="I164" s="40">
        <v>-0.23699100004354823</v>
      </c>
      <c r="J164" s="40">
        <v>-7.73557046701836E-2</v>
      </c>
    </row>
    <row r="165" spans="1:10" ht="11.25" customHeight="1" x14ac:dyDescent="0.2">
      <c r="A165" s="47" t="s">
        <v>25</v>
      </c>
      <c r="B165" s="39">
        <v>0</v>
      </c>
      <c r="C165" s="39">
        <v>0</v>
      </c>
      <c r="D165" s="39">
        <v>232.73991000000001</v>
      </c>
      <c r="E165" s="39">
        <v>252.72807985898447</v>
      </c>
      <c r="F165" s="39">
        <v>237.99204</v>
      </c>
      <c r="G165" s="39">
        <v>181.59006843799588</v>
      </c>
      <c r="H165" s="40">
        <v>8.588200390291667E-2</v>
      </c>
      <c r="I165" s="40">
        <v>-0.23699100004354823</v>
      </c>
      <c r="J165" s="40">
        <v>-7.73557046701836E-2</v>
      </c>
    </row>
    <row r="166" spans="1:10" ht="11.25" customHeight="1" x14ac:dyDescent="0.2">
      <c r="A166" s="48" t="s">
        <v>25</v>
      </c>
      <c r="B166" s="39">
        <v>0</v>
      </c>
      <c r="C166" s="39">
        <v>0</v>
      </c>
      <c r="D166" s="39">
        <v>232.73991000000001</v>
      </c>
      <c r="E166" s="39">
        <v>252.72807985898447</v>
      </c>
      <c r="F166" s="39">
        <v>237.99204</v>
      </c>
      <c r="G166" s="39">
        <v>181.59006843799588</v>
      </c>
      <c r="H166" s="40">
        <v>8.588200390291667E-2</v>
      </c>
      <c r="I166" s="40">
        <v>-0.23699100004354823</v>
      </c>
      <c r="J166" s="40">
        <v>-7.73557046701836E-2</v>
      </c>
    </row>
    <row r="167" spans="1:10" ht="11.25" customHeight="1" x14ac:dyDescent="0.2">
      <c r="A167" s="49">
        <v>44440</v>
      </c>
      <c r="B167" s="39">
        <v>0</v>
      </c>
      <c r="C167" s="39">
        <v>0</v>
      </c>
      <c r="D167" s="39">
        <v>25.117739999999998</v>
      </c>
      <c r="E167" s="39">
        <v>27.274901844712446</v>
      </c>
      <c r="F167" s="39">
        <v>25.684560000000001</v>
      </c>
      <c r="G167" s="39">
        <v>19.597550439921484</v>
      </c>
      <c r="H167" s="40">
        <v>8.588200390291667E-2</v>
      </c>
      <c r="I167" s="40">
        <v>-0.23699100004354823</v>
      </c>
      <c r="J167" s="40">
        <v>-7.7355704670183711E-2</v>
      </c>
    </row>
    <row r="168" spans="1:10" ht="11.25" customHeight="1" x14ac:dyDescent="0.2">
      <c r="A168" s="49">
        <v>44470</v>
      </c>
      <c r="B168" s="39">
        <v>0</v>
      </c>
      <c r="C168" s="39">
        <v>0</v>
      </c>
      <c r="D168" s="39">
        <v>27.789839999999998</v>
      </c>
      <c r="E168" s="39">
        <v>30.176487147341426</v>
      </c>
      <c r="F168" s="39">
        <v>28.41696</v>
      </c>
      <c r="G168" s="39">
        <v>21.682396231402493</v>
      </c>
      <c r="H168" s="40">
        <v>8.588200390291667E-2</v>
      </c>
      <c r="I168" s="40">
        <v>-0.23699100004354823</v>
      </c>
      <c r="J168" s="40">
        <v>-7.7355704670183711E-2</v>
      </c>
    </row>
    <row r="169" spans="1:10" ht="11.25" customHeight="1" x14ac:dyDescent="0.2">
      <c r="A169" s="49">
        <v>44501</v>
      </c>
      <c r="B169" s="39">
        <v>0</v>
      </c>
      <c r="C169" s="39">
        <v>0</v>
      </c>
      <c r="D169" s="39">
        <v>22.71285</v>
      </c>
      <c r="E169" s="39">
        <v>24.663475072346362</v>
      </c>
      <c r="F169" s="39">
        <v>23.225400000000004</v>
      </c>
      <c r="G169" s="39">
        <v>17.721189227588578</v>
      </c>
      <c r="H169" s="40">
        <v>8.588200390291667E-2</v>
      </c>
      <c r="I169" s="40">
        <v>-0.23699100004354823</v>
      </c>
      <c r="J169" s="40">
        <v>-7.73557046701836E-2</v>
      </c>
    </row>
    <row r="170" spans="1:10" ht="11.25" customHeight="1" x14ac:dyDescent="0.2">
      <c r="A170" s="49">
        <v>44531</v>
      </c>
      <c r="B170" s="39">
        <v>0</v>
      </c>
      <c r="C170" s="39">
        <v>0</v>
      </c>
      <c r="D170" s="39">
        <v>26.721</v>
      </c>
      <c r="E170" s="39">
        <v>29.015853026289836</v>
      </c>
      <c r="F170" s="39">
        <v>27.324000000000002</v>
      </c>
      <c r="G170" s="39">
        <v>20.848457914810091</v>
      </c>
      <c r="H170" s="40">
        <v>8.588200390291667E-2</v>
      </c>
      <c r="I170" s="40">
        <v>-0.23699100004354823</v>
      </c>
      <c r="J170" s="40">
        <v>-7.73557046701836E-2</v>
      </c>
    </row>
    <row r="171" spans="1:10" ht="11.25" customHeight="1" x14ac:dyDescent="0.2">
      <c r="A171" s="49">
        <v>44562</v>
      </c>
      <c r="B171" s="39">
        <v>0</v>
      </c>
      <c r="C171" s="39">
        <v>0</v>
      </c>
      <c r="D171" s="39">
        <v>26.721</v>
      </c>
      <c r="E171" s="39">
        <v>29.015853026289836</v>
      </c>
      <c r="F171" s="39">
        <v>27.324000000000002</v>
      </c>
      <c r="G171" s="39">
        <v>20.848457914810091</v>
      </c>
      <c r="H171" s="40">
        <v>8.588200390291667E-2</v>
      </c>
      <c r="I171" s="40">
        <v>-0.23699100004354823</v>
      </c>
      <c r="J171" s="40">
        <v>-7.73557046701836E-2</v>
      </c>
    </row>
    <row r="172" spans="1:10" ht="11.25" customHeight="1" x14ac:dyDescent="0.2">
      <c r="A172" s="49">
        <v>44593</v>
      </c>
      <c r="B172" s="39">
        <v>0</v>
      </c>
      <c r="C172" s="39">
        <v>0</v>
      </c>
      <c r="D172" s="39">
        <v>25.38495</v>
      </c>
      <c r="E172" s="39">
        <v>27.565060374975342</v>
      </c>
      <c r="F172" s="39">
        <v>25.957800000000002</v>
      </c>
      <c r="G172" s="39">
        <v>19.806035019069586</v>
      </c>
      <c r="H172" s="40">
        <v>8.588200390291667E-2</v>
      </c>
      <c r="I172" s="40">
        <v>-0.23699100004354823</v>
      </c>
      <c r="J172" s="40">
        <v>-7.7355704670183711E-2</v>
      </c>
    </row>
    <row r="173" spans="1:10" ht="11.25" customHeight="1" x14ac:dyDescent="0.2">
      <c r="A173" s="49">
        <v>44621</v>
      </c>
      <c r="B173" s="39">
        <v>0</v>
      </c>
      <c r="C173" s="39">
        <v>0</v>
      </c>
      <c r="D173" s="39">
        <v>25.919369999999997</v>
      </c>
      <c r="E173" s="39">
        <v>28.145377435501143</v>
      </c>
      <c r="F173" s="39">
        <v>26.504280000000001</v>
      </c>
      <c r="G173" s="39">
        <v>20.223004177365787</v>
      </c>
      <c r="H173" s="40">
        <v>8.5882003902916892E-2</v>
      </c>
      <c r="I173" s="40">
        <v>-0.23699100004354823</v>
      </c>
      <c r="J173" s="40">
        <v>-7.73557046701836E-2</v>
      </c>
    </row>
    <row r="174" spans="1:10" ht="11.25" customHeight="1" x14ac:dyDescent="0.2">
      <c r="A174" s="49">
        <v>44652</v>
      </c>
      <c r="B174" s="39">
        <v>0</v>
      </c>
      <c r="C174" s="39">
        <v>0</v>
      </c>
      <c r="D174" s="39">
        <v>25.652159999999999</v>
      </c>
      <c r="E174" s="39">
        <v>27.855218905238242</v>
      </c>
      <c r="F174" s="39">
        <v>26.23104</v>
      </c>
      <c r="G174" s="39">
        <v>20.014519598217685</v>
      </c>
      <c r="H174" s="40">
        <v>8.588200390291667E-2</v>
      </c>
      <c r="I174" s="40">
        <v>-0.23699100004354823</v>
      </c>
      <c r="J174" s="40">
        <v>-7.7355704670183711E-2</v>
      </c>
    </row>
    <row r="175" spans="1:10" ht="11.25" customHeight="1" x14ac:dyDescent="0.2">
      <c r="A175" s="49">
        <v>44682</v>
      </c>
      <c r="B175" s="39">
        <v>0</v>
      </c>
      <c r="C175" s="39">
        <v>0</v>
      </c>
      <c r="D175" s="39">
        <v>26.721</v>
      </c>
      <c r="E175" s="39">
        <v>29.015853026289836</v>
      </c>
      <c r="F175" s="39">
        <v>27.324000000000002</v>
      </c>
      <c r="G175" s="39">
        <v>20.848457914810091</v>
      </c>
      <c r="H175" s="40">
        <v>8.588200390291667E-2</v>
      </c>
      <c r="I175" s="40">
        <v>-0.23699100004354823</v>
      </c>
      <c r="J175" s="40">
        <v>-7.73557046701836E-2</v>
      </c>
    </row>
    <row r="176" spans="1:10" ht="11.25" customHeight="1" x14ac:dyDescent="0.2">
      <c r="A176" s="46" t="s">
        <v>50</v>
      </c>
      <c r="B176" s="39">
        <v>0</v>
      </c>
      <c r="C176" s="39">
        <v>0</v>
      </c>
      <c r="D176" s="39">
        <v>4.8971520000000002</v>
      </c>
      <c r="E176" s="39">
        <v>5.5710437810476483</v>
      </c>
      <c r="F176" s="39">
        <v>5.2462080000000002</v>
      </c>
      <c r="G176" s="39">
        <v>4.0029039196435372</v>
      </c>
      <c r="H176" s="40">
        <v>0.13760891658001384</v>
      </c>
      <c r="I176" s="40">
        <v>-0.23699100004354823</v>
      </c>
      <c r="J176" s="40">
        <v>-5.6136457673671813E-2</v>
      </c>
    </row>
    <row r="177" spans="1:10" ht="11.25" customHeight="1" x14ac:dyDescent="0.2">
      <c r="A177" s="47" t="s">
        <v>25</v>
      </c>
      <c r="B177" s="39">
        <v>0</v>
      </c>
      <c r="C177" s="39">
        <v>0</v>
      </c>
      <c r="D177" s="39">
        <v>4.8971520000000002</v>
      </c>
      <c r="E177" s="39">
        <v>5.5710437810476483</v>
      </c>
      <c r="F177" s="39">
        <v>5.2462080000000002</v>
      </c>
      <c r="G177" s="39">
        <v>4.0029039196435372</v>
      </c>
      <c r="H177" s="40">
        <v>0.13760891658001384</v>
      </c>
      <c r="I177" s="40">
        <v>-0.23699100004354823</v>
      </c>
      <c r="J177" s="40">
        <v>-5.6136457673671813E-2</v>
      </c>
    </row>
    <row r="178" spans="1:10" ht="11.25" customHeight="1" x14ac:dyDescent="0.2">
      <c r="A178" s="48" t="s">
        <v>25</v>
      </c>
      <c r="B178" s="39">
        <v>0</v>
      </c>
      <c r="C178" s="39">
        <v>0</v>
      </c>
      <c r="D178" s="39">
        <v>4.8971520000000002</v>
      </c>
      <c r="E178" s="39">
        <v>5.5710437810476483</v>
      </c>
      <c r="F178" s="39">
        <v>5.2462080000000002</v>
      </c>
      <c r="G178" s="39">
        <v>4.0029039196435372</v>
      </c>
      <c r="H178" s="40">
        <v>0.13760891658001384</v>
      </c>
      <c r="I178" s="40">
        <v>-0.23699100004354823</v>
      </c>
      <c r="J178" s="40">
        <v>-5.6136457673671813E-2</v>
      </c>
    </row>
    <row r="179" spans="1:10" ht="11.25" customHeight="1" x14ac:dyDescent="0.2">
      <c r="A179" s="49">
        <v>44440</v>
      </c>
      <c r="B179" s="39">
        <v>0</v>
      </c>
      <c r="C179" s="39">
        <v>0</v>
      </c>
      <c r="D179" s="39">
        <v>0.61214399999999991</v>
      </c>
      <c r="E179" s="39">
        <v>0.69638047263095604</v>
      </c>
      <c r="F179" s="39">
        <v>0.65577599999999991</v>
      </c>
      <c r="G179" s="39">
        <v>0.50036298995544215</v>
      </c>
      <c r="H179" s="40">
        <v>0.13760891658001406</v>
      </c>
      <c r="I179" s="40">
        <v>-0.23699100004354812</v>
      </c>
      <c r="J179" s="40">
        <v>-5.613645767367148E-2</v>
      </c>
    </row>
    <row r="180" spans="1:10" ht="11.25" customHeight="1" x14ac:dyDescent="0.2">
      <c r="A180" s="49">
        <v>44470</v>
      </c>
      <c r="B180" s="39">
        <v>0</v>
      </c>
      <c r="C180" s="39">
        <v>0</v>
      </c>
      <c r="D180" s="39">
        <v>1.5303599999999999</v>
      </c>
      <c r="E180" s="39">
        <v>1.7409511815773901</v>
      </c>
      <c r="F180" s="39">
        <v>1.63944</v>
      </c>
      <c r="G180" s="39">
        <v>1.2509074748886053</v>
      </c>
      <c r="H180" s="40">
        <v>0.13760891658001406</v>
      </c>
      <c r="I180" s="40">
        <v>-0.23699100004354823</v>
      </c>
      <c r="J180" s="40">
        <v>-5.6136457673671702E-2</v>
      </c>
    </row>
    <row r="181" spans="1:10" ht="11.25" customHeight="1" x14ac:dyDescent="0.2">
      <c r="A181" s="49">
        <v>44501</v>
      </c>
      <c r="B181" s="39">
        <v>0</v>
      </c>
      <c r="C181" s="39">
        <v>0</v>
      </c>
      <c r="D181" s="39">
        <v>1.5303599999999999</v>
      </c>
      <c r="E181" s="39">
        <v>1.7409511815773901</v>
      </c>
      <c r="F181" s="39">
        <v>1.63944</v>
      </c>
      <c r="G181" s="39">
        <v>1.2509074748886053</v>
      </c>
      <c r="H181" s="40">
        <v>0.13760891658001406</v>
      </c>
      <c r="I181" s="40">
        <v>-0.23699100004354823</v>
      </c>
      <c r="J181" s="40">
        <v>-5.6136457673671702E-2</v>
      </c>
    </row>
    <row r="182" spans="1:10" ht="11.25" customHeight="1" x14ac:dyDescent="0.2">
      <c r="A182" s="49">
        <v>44593</v>
      </c>
      <c r="B182" s="39">
        <v>0</v>
      </c>
      <c r="C182" s="39">
        <v>0</v>
      </c>
      <c r="D182" s="39">
        <v>0.51012000000000002</v>
      </c>
      <c r="E182" s="39">
        <v>0.58031706052579668</v>
      </c>
      <c r="F182" s="39">
        <v>0.54648000000000008</v>
      </c>
      <c r="G182" s="39">
        <v>0.41696915829620179</v>
      </c>
      <c r="H182" s="40">
        <v>0.13760891658001384</v>
      </c>
      <c r="I182" s="40">
        <v>-0.23699100004354834</v>
      </c>
      <c r="J182" s="40">
        <v>-5.6136457673671702E-2</v>
      </c>
    </row>
    <row r="183" spans="1:10" ht="11.25" customHeight="1" x14ac:dyDescent="0.2">
      <c r="A183" s="49">
        <v>44621</v>
      </c>
      <c r="B183" s="39">
        <v>0</v>
      </c>
      <c r="C183" s="39">
        <v>0</v>
      </c>
      <c r="D183" s="39">
        <v>0.30607199999999996</v>
      </c>
      <c r="E183" s="39">
        <v>0.34819023631547802</v>
      </c>
      <c r="F183" s="39">
        <v>0.32788799999999996</v>
      </c>
      <c r="G183" s="39">
        <v>0.25018149497772108</v>
      </c>
      <c r="H183" s="40">
        <v>0.13760891658001406</v>
      </c>
      <c r="I183" s="40">
        <v>-0.23699100004354812</v>
      </c>
      <c r="J183" s="40">
        <v>-5.613645767367148E-2</v>
      </c>
    </row>
    <row r="184" spans="1:10" ht="11.25" customHeight="1" x14ac:dyDescent="0.2">
      <c r="A184" s="49">
        <v>44652</v>
      </c>
      <c r="B184" s="39">
        <v>0</v>
      </c>
      <c r="C184" s="39">
        <v>0</v>
      </c>
      <c r="D184" s="39">
        <v>0.40809600000000001</v>
      </c>
      <c r="E184" s="39">
        <v>0.46425364842063738</v>
      </c>
      <c r="F184" s="39">
        <v>0.43718400000000002</v>
      </c>
      <c r="G184" s="39">
        <v>0.33357532663696143</v>
      </c>
      <c r="H184" s="40">
        <v>0.13760891658001384</v>
      </c>
      <c r="I184" s="40">
        <v>-0.23699100004354823</v>
      </c>
      <c r="J184" s="40">
        <v>-5.6136457673671591E-2</v>
      </c>
    </row>
    <row r="185" spans="1:10" ht="11.25" customHeight="1" x14ac:dyDescent="0.2">
      <c r="A185" s="45" t="s">
        <v>25</v>
      </c>
      <c r="B185" s="39">
        <v>0</v>
      </c>
      <c r="C185" s="39">
        <v>0</v>
      </c>
      <c r="D185" s="39">
        <v>1531688.33592</v>
      </c>
      <c r="E185" s="39">
        <v>1663232.7995635332</v>
      </c>
      <c r="F185" s="39">
        <v>1566253.2124800002</v>
      </c>
      <c r="G185" s="39">
        <v>1195065.2973329448</v>
      </c>
      <c r="H185" s="40">
        <v>8.5882003902917115E-2</v>
      </c>
      <c r="I185" s="40">
        <v>-0.23699100004354834</v>
      </c>
      <c r="J185" s="40">
        <v>-7.73557046701836E-2</v>
      </c>
    </row>
    <row r="186" spans="1:10" ht="11.25" customHeight="1" x14ac:dyDescent="0.2">
      <c r="A186" s="46" t="s">
        <v>25</v>
      </c>
      <c r="B186" s="39">
        <v>0</v>
      </c>
      <c r="C186" s="39">
        <v>0</v>
      </c>
      <c r="D186" s="39">
        <v>1531688.33592</v>
      </c>
      <c r="E186" s="39">
        <v>1663232.7995635332</v>
      </c>
      <c r="F186" s="39">
        <v>1566253.2124800002</v>
      </c>
      <c r="G186" s="39">
        <v>1195065.2973329448</v>
      </c>
      <c r="H186" s="40">
        <v>8.5882003902917115E-2</v>
      </c>
      <c r="I186" s="40">
        <v>-0.23699100004354834</v>
      </c>
      <c r="J186" s="40">
        <v>-7.73557046701836E-2</v>
      </c>
    </row>
    <row r="187" spans="1:10" ht="11.25" customHeight="1" x14ac:dyDescent="0.2">
      <c r="A187" s="47" t="s">
        <v>25</v>
      </c>
      <c r="B187" s="39">
        <v>0</v>
      </c>
      <c r="C187" s="39">
        <v>0</v>
      </c>
      <c r="D187" s="39">
        <v>1531688.33592</v>
      </c>
      <c r="E187" s="39">
        <v>1663232.7995635332</v>
      </c>
      <c r="F187" s="39">
        <v>1566253.2124800002</v>
      </c>
      <c r="G187" s="39">
        <v>1195065.2973329448</v>
      </c>
      <c r="H187" s="40">
        <v>8.5882003902917115E-2</v>
      </c>
      <c r="I187" s="40">
        <v>-0.23699100004354834</v>
      </c>
      <c r="J187" s="40">
        <v>-7.73557046701836E-2</v>
      </c>
    </row>
    <row r="188" spans="1:10" ht="11.25" customHeight="1" x14ac:dyDescent="0.2">
      <c r="A188" s="48" t="s">
        <v>25</v>
      </c>
      <c r="B188" s="39">
        <v>0</v>
      </c>
      <c r="C188" s="39">
        <v>0</v>
      </c>
      <c r="D188" s="39">
        <v>1531688.33592</v>
      </c>
      <c r="E188" s="39">
        <v>1663232.7995635332</v>
      </c>
      <c r="F188" s="39">
        <v>1566253.2124800002</v>
      </c>
      <c r="G188" s="39">
        <v>1195065.2973329448</v>
      </c>
      <c r="H188" s="40">
        <v>8.5882003902917115E-2</v>
      </c>
      <c r="I188" s="40">
        <v>-0.23699100004354834</v>
      </c>
      <c r="J188" s="40">
        <v>-7.73557046701836E-2</v>
      </c>
    </row>
    <row r="189" spans="1:10" ht="11.25" customHeight="1" x14ac:dyDescent="0.2">
      <c r="A189" s="49">
        <v>44440</v>
      </c>
      <c r="B189" s="39">
        <v>0</v>
      </c>
      <c r="C189" s="39">
        <v>0</v>
      </c>
      <c r="D189" s="39">
        <v>120861.22067999998</v>
      </c>
      <c r="E189" s="39">
        <v>131241.02450615104</v>
      </c>
      <c r="F189" s="39">
        <v>123588.63792000001</v>
      </c>
      <c r="G189" s="39">
        <v>94299.243025319229</v>
      </c>
      <c r="H189" s="40">
        <v>8.5882003902916892E-2</v>
      </c>
      <c r="I189" s="40">
        <v>-0.23699100004354812</v>
      </c>
      <c r="J189" s="40">
        <v>-7.7355704670183489E-2</v>
      </c>
    </row>
    <row r="190" spans="1:10" ht="11.25" customHeight="1" x14ac:dyDescent="0.2">
      <c r="A190" s="49">
        <v>44470</v>
      </c>
      <c r="B190" s="39">
        <v>0</v>
      </c>
      <c r="C190" s="39">
        <v>0</v>
      </c>
      <c r="D190" s="39">
        <v>123235.91594999998</v>
      </c>
      <c r="E190" s="39">
        <v>133819.66336459739</v>
      </c>
      <c r="F190" s="39">
        <v>126016.9218</v>
      </c>
      <c r="G190" s="39">
        <v>96152.045480208384</v>
      </c>
      <c r="H190" s="40">
        <v>8.588200390291667E-2</v>
      </c>
      <c r="I190" s="40">
        <v>-0.23699100004354823</v>
      </c>
      <c r="J190" s="40">
        <v>-7.73557046701836E-2</v>
      </c>
    </row>
    <row r="191" spans="1:10" ht="11.25" customHeight="1" x14ac:dyDescent="0.2">
      <c r="A191" s="49">
        <v>44501</v>
      </c>
      <c r="B191" s="39">
        <v>0</v>
      </c>
      <c r="C191" s="39">
        <v>0</v>
      </c>
      <c r="D191" s="39">
        <v>148205.88881999999</v>
      </c>
      <c r="E191" s="39">
        <v>160934.10754207449</v>
      </c>
      <c r="F191" s="39">
        <v>151550.38008</v>
      </c>
      <c r="G191" s="39">
        <v>115634.30394786099</v>
      </c>
      <c r="H191" s="40">
        <v>8.5882003902916892E-2</v>
      </c>
      <c r="I191" s="40">
        <v>-0.23699100004354812</v>
      </c>
      <c r="J191" s="40">
        <v>-7.73557046701836E-2</v>
      </c>
    </row>
    <row r="192" spans="1:10" ht="11.25" customHeight="1" x14ac:dyDescent="0.2">
      <c r="A192" s="49">
        <v>44531</v>
      </c>
      <c r="B192" s="39">
        <v>0</v>
      </c>
      <c r="C192" s="39">
        <v>0</v>
      </c>
      <c r="D192" s="39">
        <v>132124.92380999998</v>
      </c>
      <c r="E192" s="39">
        <v>143472.077032323</v>
      </c>
      <c r="F192" s="39">
        <v>135106.52364</v>
      </c>
      <c r="G192" s="39">
        <v>103087.49349014911</v>
      </c>
      <c r="H192" s="40">
        <v>8.5882003902916892E-2</v>
      </c>
      <c r="I192" s="40">
        <v>-0.23699100004354823</v>
      </c>
      <c r="J192" s="40">
        <v>-7.73557046701836E-2</v>
      </c>
    </row>
    <row r="193" spans="1:10" ht="11.25" customHeight="1" x14ac:dyDescent="0.2">
      <c r="A193" s="49">
        <v>44562</v>
      </c>
      <c r="B193" s="39">
        <v>0</v>
      </c>
      <c r="C193" s="39">
        <v>0</v>
      </c>
      <c r="D193" s="39">
        <v>152658.14183999997</v>
      </c>
      <c r="E193" s="39">
        <v>165768.72897331486</v>
      </c>
      <c r="F193" s="39">
        <v>156103.10496</v>
      </c>
      <c r="G193" s="39">
        <v>119108.07400562662</v>
      </c>
      <c r="H193" s="40">
        <v>8.588200390291667E-2</v>
      </c>
      <c r="I193" s="40">
        <v>-0.23699100004354823</v>
      </c>
      <c r="J193" s="40">
        <v>-7.7355704670183711E-2</v>
      </c>
    </row>
    <row r="194" spans="1:10" ht="11.25" customHeight="1" x14ac:dyDescent="0.2">
      <c r="A194" s="49">
        <v>44593</v>
      </c>
      <c r="B194" s="39">
        <v>0</v>
      </c>
      <c r="C194" s="39">
        <v>0</v>
      </c>
      <c r="D194" s="39">
        <v>126416.78379</v>
      </c>
      <c r="E194" s="39">
        <v>137273.71050884694</v>
      </c>
      <c r="F194" s="39">
        <v>129269.57076</v>
      </c>
      <c r="G194" s="39">
        <v>98633.84591038739</v>
      </c>
      <c r="H194" s="40">
        <v>8.5882003902916448E-2</v>
      </c>
      <c r="I194" s="40">
        <v>-0.23699100004354812</v>
      </c>
      <c r="J194" s="40">
        <v>-7.7355704670183711E-2</v>
      </c>
    </row>
    <row r="195" spans="1:10" ht="11.25" customHeight="1" x14ac:dyDescent="0.2">
      <c r="A195" s="49">
        <v>44621</v>
      </c>
      <c r="B195" s="39">
        <v>0</v>
      </c>
      <c r="C195" s="39">
        <v>0</v>
      </c>
      <c r="D195" s="39">
        <v>128521.32975</v>
      </c>
      <c r="E195" s="39">
        <v>139558.99909319755</v>
      </c>
      <c r="F195" s="39">
        <v>131421.609</v>
      </c>
      <c r="G195" s="39">
        <v>100275.87045575783</v>
      </c>
      <c r="H195" s="40">
        <v>8.588200390291667E-2</v>
      </c>
      <c r="I195" s="40">
        <v>-0.23699100004354812</v>
      </c>
      <c r="J195" s="40">
        <v>-7.73557046701836E-2</v>
      </c>
    </row>
    <row r="196" spans="1:10" ht="11.25" customHeight="1" x14ac:dyDescent="0.2">
      <c r="A196" s="49">
        <v>44652</v>
      </c>
      <c r="B196" s="39">
        <v>0</v>
      </c>
      <c r="C196" s="39">
        <v>0</v>
      </c>
      <c r="D196" s="39">
        <v>118441.90133999998</v>
      </c>
      <c r="E196" s="39">
        <v>128613.92917315074</v>
      </c>
      <c r="F196" s="39">
        <v>121114.72296000001</v>
      </c>
      <c r="G196" s="39">
        <v>92411.623645712316</v>
      </c>
      <c r="H196" s="40">
        <v>8.588200390291667E-2</v>
      </c>
      <c r="I196" s="40">
        <v>-0.23699100004354823</v>
      </c>
      <c r="J196" s="40">
        <v>-7.73557046701836E-2</v>
      </c>
    </row>
    <row r="197" spans="1:10" ht="11.25" customHeight="1" x14ac:dyDescent="0.2">
      <c r="A197" s="49">
        <v>44682</v>
      </c>
      <c r="B197" s="39">
        <v>0</v>
      </c>
      <c r="C197" s="39">
        <v>0</v>
      </c>
      <c r="D197" s="39">
        <v>121432.24844999998</v>
      </c>
      <c r="E197" s="39">
        <v>131861.09328532286</v>
      </c>
      <c r="F197" s="39">
        <v>124172.55180000002</v>
      </c>
      <c r="G197" s="39">
        <v>94744.774570958718</v>
      </c>
      <c r="H197" s="40">
        <v>8.5882003902916892E-2</v>
      </c>
      <c r="I197" s="40">
        <v>-0.23699100004354823</v>
      </c>
      <c r="J197" s="40">
        <v>-7.73557046701836E-2</v>
      </c>
    </row>
    <row r="198" spans="1:10" ht="11.25" customHeight="1" x14ac:dyDescent="0.2">
      <c r="A198" s="49">
        <v>44713</v>
      </c>
      <c r="B198" s="39">
        <v>0</v>
      </c>
      <c r="C198" s="39">
        <v>0</v>
      </c>
      <c r="D198" s="39">
        <v>116729.61965999998</v>
      </c>
      <c r="E198" s="39">
        <v>126754.5933112261</v>
      </c>
      <c r="F198" s="39">
        <v>119363.80103999999</v>
      </c>
      <c r="G198" s="39">
        <v>91075.654462531282</v>
      </c>
      <c r="H198" s="40">
        <v>8.5882003902916892E-2</v>
      </c>
      <c r="I198" s="40">
        <v>-0.23699100004354812</v>
      </c>
      <c r="J198" s="40">
        <v>-7.7355704670183489E-2</v>
      </c>
    </row>
    <row r="199" spans="1:10" ht="11.25" customHeight="1" x14ac:dyDescent="0.2">
      <c r="A199" s="49">
        <v>44743</v>
      </c>
      <c r="B199" s="39">
        <v>0</v>
      </c>
      <c r="C199" s="39">
        <v>0</v>
      </c>
      <c r="D199" s="39">
        <v>119024.41913999998</v>
      </c>
      <c r="E199" s="39">
        <v>129246.47476912386</v>
      </c>
      <c r="F199" s="39">
        <v>121710.38615999999</v>
      </c>
      <c r="G199" s="39">
        <v>92866.120028255173</v>
      </c>
      <c r="H199" s="40">
        <v>8.588200390291667E-2</v>
      </c>
      <c r="I199" s="40">
        <v>-0.23699100004354812</v>
      </c>
      <c r="J199" s="40">
        <v>-7.7355704670183489E-2</v>
      </c>
    </row>
    <row r="200" spans="1:10" ht="11.25" customHeight="1" x14ac:dyDescent="0.2">
      <c r="A200" s="49">
        <v>44774</v>
      </c>
      <c r="B200" s="39">
        <v>0</v>
      </c>
      <c r="C200" s="39">
        <v>0</v>
      </c>
      <c r="D200" s="39">
        <v>124035.94269</v>
      </c>
      <c r="E200" s="39">
        <v>134688.39800420453</v>
      </c>
      <c r="F200" s="39">
        <v>126835.00236000001</v>
      </c>
      <c r="G200" s="39">
        <v>96776.24831017782</v>
      </c>
      <c r="H200" s="40">
        <v>8.588200390291667E-2</v>
      </c>
      <c r="I200" s="40">
        <v>-0.23699100004354812</v>
      </c>
      <c r="J200" s="40">
        <v>-7.73557046701836E-2</v>
      </c>
    </row>
    <row r="201" spans="1:10" ht="11.25" customHeight="1" x14ac:dyDescent="0.2">
      <c r="A201" s="42" t="s">
        <v>31</v>
      </c>
      <c r="B201" s="39">
        <v>0</v>
      </c>
      <c r="C201" s="39">
        <v>0</v>
      </c>
      <c r="D201" s="39">
        <v>97552.839936999982</v>
      </c>
      <c r="E201" s="39">
        <v>99168.585959800039</v>
      </c>
      <c r="F201" s="39">
        <v>99753.521490000014</v>
      </c>
      <c r="G201" s="39">
        <v>71254.568631184055</v>
      </c>
      <c r="H201" s="40">
        <v>1.656277791444638E-2</v>
      </c>
      <c r="I201" s="40">
        <v>-0.28569370216842815</v>
      </c>
      <c r="J201" s="40">
        <v>-0.13625109014015357</v>
      </c>
    </row>
    <row r="202" spans="1:10" ht="11.25" customHeight="1" x14ac:dyDescent="0.2">
      <c r="A202" s="43" t="s">
        <v>23</v>
      </c>
      <c r="B202" s="39">
        <v>0</v>
      </c>
      <c r="C202" s="39">
        <v>0</v>
      </c>
      <c r="D202" s="39">
        <v>97552.839936999982</v>
      </c>
      <c r="E202" s="39">
        <v>99168.585959800039</v>
      </c>
      <c r="F202" s="39">
        <v>99753.521490000014</v>
      </c>
      <c r="G202" s="39">
        <v>71254.568631184055</v>
      </c>
      <c r="H202" s="40">
        <v>1.656277791444638E-2</v>
      </c>
      <c r="I202" s="40">
        <v>-0.28569370216842815</v>
      </c>
      <c r="J202" s="40">
        <v>-0.13625109014015357</v>
      </c>
    </row>
    <row r="203" spans="1:10" ht="11.25" customHeight="1" x14ac:dyDescent="0.2">
      <c r="A203" s="44" t="s">
        <v>38</v>
      </c>
      <c r="B203" s="39">
        <v>0</v>
      </c>
      <c r="C203" s="39">
        <v>0</v>
      </c>
      <c r="D203" s="39">
        <v>87723.574049999996</v>
      </c>
      <c r="E203" s="39">
        <v>89176.520124851639</v>
      </c>
      <c r="F203" s="39">
        <v>89702.51850000002</v>
      </c>
      <c r="G203" s="39">
        <v>64075.073895903086</v>
      </c>
      <c r="H203" s="40">
        <v>1.656277791444638E-2</v>
      </c>
      <c r="I203" s="40">
        <v>-0.28569370216842827</v>
      </c>
      <c r="J203" s="40">
        <v>-0.13625109014015346</v>
      </c>
    </row>
    <row r="204" spans="1:10" ht="11.25" customHeight="1" x14ac:dyDescent="0.2">
      <c r="A204" s="45" t="s">
        <v>25</v>
      </c>
      <c r="B204" s="39">
        <v>0</v>
      </c>
      <c r="C204" s="39">
        <v>0</v>
      </c>
      <c r="D204" s="39">
        <v>87723.574049999996</v>
      </c>
      <c r="E204" s="39">
        <v>89176.520124851639</v>
      </c>
      <c r="F204" s="39">
        <v>89702.51850000002</v>
      </c>
      <c r="G204" s="39">
        <v>64075.073895903086</v>
      </c>
      <c r="H204" s="40">
        <v>1.656277791444638E-2</v>
      </c>
      <c r="I204" s="40">
        <v>-0.28569370216842827</v>
      </c>
      <c r="J204" s="40">
        <v>-0.13625109014015346</v>
      </c>
    </row>
    <row r="205" spans="1:10" ht="11.25" customHeight="1" x14ac:dyDescent="0.2">
      <c r="A205" s="46" t="s">
        <v>25</v>
      </c>
      <c r="B205" s="39">
        <v>0</v>
      </c>
      <c r="C205" s="39">
        <v>0</v>
      </c>
      <c r="D205" s="39">
        <v>87723.574049999996</v>
      </c>
      <c r="E205" s="39">
        <v>89176.520124851639</v>
      </c>
      <c r="F205" s="39">
        <v>89702.51850000002</v>
      </c>
      <c r="G205" s="39">
        <v>64075.073895903086</v>
      </c>
      <c r="H205" s="40">
        <v>1.656277791444638E-2</v>
      </c>
      <c r="I205" s="40">
        <v>-0.28569370216842827</v>
      </c>
      <c r="J205" s="40">
        <v>-0.13625109014015346</v>
      </c>
    </row>
    <row r="206" spans="1:10" ht="11.25" customHeight="1" x14ac:dyDescent="0.2">
      <c r="A206" s="47" t="s">
        <v>25</v>
      </c>
      <c r="B206" s="39">
        <v>0</v>
      </c>
      <c r="C206" s="39">
        <v>0</v>
      </c>
      <c r="D206" s="39">
        <v>87723.574049999996</v>
      </c>
      <c r="E206" s="39">
        <v>89176.520124851639</v>
      </c>
      <c r="F206" s="39">
        <v>89702.51850000002</v>
      </c>
      <c r="G206" s="39">
        <v>64075.073895903086</v>
      </c>
      <c r="H206" s="40">
        <v>1.656277791444638E-2</v>
      </c>
      <c r="I206" s="40">
        <v>-0.28569370216842827</v>
      </c>
      <c r="J206" s="40">
        <v>-0.13625109014015346</v>
      </c>
    </row>
    <row r="207" spans="1:10" ht="11.25" customHeight="1" x14ac:dyDescent="0.2">
      <c r="A207" s="48" t="s">
        <v>25</v>
      </c>
      <c r="B207" s="39">
        <v>0</v>
      </c>
      <c r="C207" s="39">
        <v>0</v>
      </c>
      <c r="D207" s="39">
        <v>87723.574049999996</v>
      </c>
      <c r="E207" s="39">
        <v>89176.520124851639</v>
      </c>
      <c r="F207" s="39">
        <v>89702.51850000002</v>
      </c>
      <c r="G207" s="39">
        <v>64075.073895903086</v>
      </c>
      <c r="H207" s="40">
        <v>1.656277791444638E-2</v>
      </c>
      <c r="I207" s="40">
        <v>-0.28569370216842827</v>
      </c>
      <c r="J207" s="40">
        <v>-0.13625109014015346</v>
      </c>
    </row>
    <row r="208" spans="1:10" ht="11.25" customHeight="1" x14ac:dyDescent="0.2">
      <c r="A208" s="49">
        <v>44440</v>
      </c>
      <c r="B208" s="39">
        <v>0</v>
      </c>
      <c r="C208" s="39">
        <v>0</v>
      </c>
      <c r="D208" s="39">
        <v>5540.397899999999</v>
      </c>
      <c r="E208" s="39">
        <v>5632.162279975365</v>
      </c>
      <c r="F208" s="39">
        <v>5665.3829999999998</v>
      </c>
      <c r="G208" s="39">
        <v>4046.8187565279241</v>
      </c>
      <c r="H208" s="40">
        <v>1.6562777914446603E-2</v>
      </c>
      <c r="I208" s="40">
        <v>-0.28569370216842815</v>
      </c>
      <c r="J208" s="40">
        <v>-0.13625109014015335</v>
      </c>
    </row>
    <row r="209" spans="1:10" ht="11.25" customHeight="1" x14ac:dyDescent="0.2">
      <c r="A209" s="49">
        <v>44470</v>
      </c>
      <c r="B209" s="39">
        <v>0</v>
      </c>
      <c r="C209" s="39">
        <v>0</v>
      </c>
      <c r="D209" s="39">
        <v>5383.1072000000004</v>
      </c>
      <c r="E209" s="39">
        <v>5472.2664090432581</v>
      </c>
      <c r="F209" s="39">
        <v>5504.5440000000008</v>
      </c>
      <c r="G209" s="39">
        <v>3931.9304458909928</v>
      </c>
      <c r="H209" s="40">
        <v>1.656277791444638E-2</v>
      </c>
      <c r="I209" s="40">
        <v>-0.28569370216842804</v>
      </c>
      <c r="J209" s="40">
        <v>-0.13625109014015335</v>
      </c>
    </row>
    <row r="210" spans="1:10" ht="11.25" customHeight="1" x14ac:dyDescent="0.2">
      <c r="A210" s="49">
        <v>44501</v>
      </c>
      <c r="B210" s="39">
        <v>0</v>
      </c>
      <c r="C210" s="39">
        <v>0</v>
      </c>
      <c r="D210" s="39">
        <v>9025.0852999999988</v>
      </c>
      <c r="E210" s="39">
        <v>9174.5657834828344</v>
      </c>
      <c r="F210" s="39">
        <v>9228.6810000000005</v>
      </c>
      <c r="G210" s="39">
        <v>6592.1049589785698</v>
      </c>
      <c r="H210" s="40">
        <v>1.656277791444638E-2</v>
      </c>
      <c r="I210" s="40">
        <v>-0.28569370216842804</v>
      </c>
      <c r="J210" s="40">
        <v>-0.13625109014015346</v>
      </c>
    </row>
    <row r="211" spans="1:10" ht="11.25" customHeight="1" x14ac:dyDescent="0.2">
      <c r="A211" s="49">
        <v>44531</v>
      </c>
      <c r="B211" s="39">
        <v>0</v>
      </c>
      <c r="C211" s="39">
        <v>0</v>
      </c>
      <c r="D211" s="39">
        <v>9145.0270499999988</v>
      </c>
      <c r="E211" s="39">
        <v>9296.4941020507558</v>
      </c>
      <c r="F211" s="39">
        <v>9351.3284999999996</v>
      </c>
      <c r="G211" s="39">
        <v>6679.7128406418669</v>
      </c>
      <c r="H211" s="40">
        <v>1.6562777914446603E-2</v>
      </c>
      <c r="I211" s="40">
        <v>-0.28569370216842804</v>
      </c>
      <c r="J211" s="40">
        <v>-0.13625109014015346</v>
      </c>
    </row>
    <row r="212" spans="1:10" ht="11.25" customHeight="1" x14ac:dyDescent="0.2">
      <c r="A212" s="49">
        <v>44562</v>
      </c>
      <c r="B212" s="39">
        <v>0</v>
      </c>
      <c r="C212" s="39">
        <v>0</v>
      </c>
      <c r="D212" s="39">
        <v>9599.2874499999998</v>
      </c>
      <c r="E212" s="39">
        <v>9758.2783161712814</v>
      </c>
      <c r="F212" s="39">
        <v>9815.8364999999994</v>
      </c>
      <c r="G212" s="39">
        <v>7011.5138304350148</v>
      </c>
      <c r="H212" s="40">
        <v>1.656277791444638E-2</v>
      </c>
      <c r="I212" s="40">
        <v>-0.28569370216842804</v>
      </c>
      <c r="J212" s="40">
        <v>-0.13625109014015346</v>
      </c>
    </row>
    <row r="213" spans="1:10" ht="11.25" customHeight="1" x14ac:dyDescent="0.2">
      <c r="A213" s="49">
        <v>44593</v>
      </c>
      <c r="B213" s="39">
        <v>0</v>
      </c>
      <c r="C213" s="39">
        <v>0</v>
      </c>
      <c r="D213" s="39">
        <v>8858.0777999999991</v>
      </c>
      <c r="E213" s="39">
        <v>9004.7921753502887</v>
      </c>
      <c r="F213" s="39">
        <v>9057.9060000000009</v>
      </c>
      <c r="G213" s="39">
        <v>6470.119300966383</v>
      </c>
      <c r="H213" s="40">
        <v>1.6562777914446603E-2</v>
      </c>
      <c r="I213" s="40">
        <v>-0.28569370216842804</v>
      </c>
      <c r="J213" s="40">
        <v>-0.13625109014015346</v>
      </c>
    </row>
    <row r="214" spans="1:10" ht="11.25" customHeight="1" x14ac:dyDescent="0.2">
      <c r="A214" s="49">
        <v>44621</v>
      </c>
      <c r="B214" s="39">
        <v>0</v>
      </c>
      <c r="C214" s="39">
        <v>0</v>
      </c>
      <c r="D214" s="39">
        <v>7594.2865000000002</v>
      </c>
      <c r="E214" s="39">
        <v>7720.0689807181789</v>
      </c>
      <c r="F214" s="39">
        <v>7765.6050000000005</v>
      </c>
      <c r="G214" s="39">
        <v>5547.0205579723442</v>
      </c>
      <c r="H214" s="40">
        <v>1.656277791444638E-2</v>
      </c>
      <c r="I214" s="40">
        <v>-0.28569370216842815</v>
      </c>
      <c r="J214" s="40">
        <v>-0.13625109014015357</v>
      </c>
    </row>
    <row r="215" spans="1:10" ht="11.25" customHeight="1" x14ac:dyDescent="0.2">
      <c r="A215" s="49">
        <v>44652</v>
      </c>
      <c r="B215" s="39">
        <v>0</v>
      </c>
      <c r="C215" s="39">
        <v>0</v>
      </c>
      <c r="D215" s="39">
        <v>6951.4594499999994</v>
      </c>
      <c r="E215" s="39">
        <v>7066.5949290516301</v>
      </c>
      <c r="F215" s="39">
        <v>7108.2764999999999</v>
      </c>
      <c r="G215" s="39">
        <v>5077.486670678164</v>
      </c>
      <c r="H215" s="40">
        <v>1.6562777914446603E-2</v>
      </c>
      <c r="I215" s="40">
        <v>-0.28569370216842804</v>
      </c>
      <c r="J215" s="40">
        <v>-0.13625109014015335</v>
      </c>
    </row>
    <row r="216" spans="1:10" ht="11.25" customHeight="1" x14ac:dyDescent="0.2">
      <c r="A216" s="49">
        <v>44682</v>
      </c>
      <c r="B216" s="39">
        <v>0</v>
      </c>
      <c r="C216" s="39">
        <v>0</v>
      </c>
      <c r="D216" s="39">
        <v>6970.5893999999989</v>
      </c>
      <c r="E216" s="39">
        <v>7086.0417241649939</v>
      </c>
      <c r="F216" s="39">
        <v>7127.8379999999997</v>
      </c>
      <c r="G216" s="39">
        <v>5091.4595733231963</v>
      </c>
      <c r="H216" s="40">
        <v>1.6562777914446603E-2</v>
      </c>
      <c r="I216" s="40">
        <v>-0.28569370216842804</v>
      </c>
      <c r="J216" s="40">
        <v>-0.13625109014015346</v>
      </c>
    </row>
    <row r="217" spans="1:10" ht="11.25" customHeight="1" x14ac:dyDescent="0.2">
      <c r="A217" s="49">
        <v>44713</v>
      </c>
      <c r="B217" s="39">
        <v>0</v>
      </c>
      <c r="C217" s="39">
        <v>0</v>
      </c>
      <c r="D217" s="39">
        <v>6230.2906999999996</v>
      </c>
      <c r="E217" s="39">
        <v>6333.4816212065407</v>
      </c>
      <c r="F217" s="39">
        <v>6370.8389999999999</v>
      </c>
      <c r="G217" s="39">
        <v>4550.730420170994</v>
      </c>
      <c r="H217" s="40">
        <v>1.656277791444638E-2</v>
      </c>
      <c r="I217" s="40">
        <v>-0.28569370216842804</v>
      </c>
      <c r="J217" s="40">
        <v>-0.13625109014015357</v>
      </c>
    </row>
    <row r="218" spans="1:10" ht="11.25" customHeight="1" x14ac:dyDescent="0.2">
      <c r="A218" s="49">
        <v>44743</v>
      </c>
      <c r="B218" s="39">
        <v>0</v>
      </c>
      <c r="C218" s="39">
        <v>0</v>
      </c>
      <c r="D218" s="39">
        <v>5910.2435999999989</v>
      </c>
      <c r="E218" s="39">
        <v>6008.1336521670773</v>
      </c>
      <c r="F218" s="39">
        <v>6043.5719999999992</v>
      </c>
      <c r="G218" s="39">
        <v>4316.9615409985481</v>
      </c>
      <c r="H218" s="40">
        <v>1.656277791444638E-2</v>
      </c>
      <c r="I218" s="40">
        <v>-0.28569370216842804</v>
      </c>
      <c r="J218" s="40">
        <v>-0.13625109014015346</v>
      </c>
    </row>
    <row r="219" spans="1:10" ht="11.25" customHeight="1" x14ac:dyDescent="0.2">
      <c r="A219" s="49">
        <v>44774</v>
      </c>
      <c r="B219" s="39">
        <v>0</v>
      </c>
      <c r="C219" s="39">
        <v>0</v>
      </c>
      <c r="D219" s="39">
        <v>6515.7216999999991</v>
      </c>
      <c r="E219" s="39">
        <v>6623.6401514694389</v>
      </c>
      <c r="F219" s="39">
        <v>6662.7089999999998</v>
      </c>
      <c r="G219" s="39">
        <v>4759.2149993190942</v>
      </c>
      <c r="H219" s="40">
        <v>1.6562777914446603E-2</v>
      </c>
      <c r="I219" s="40">
        <v>-0.28569370216842815</v>
      </c>
      <c r="J219" s="40">
        <v>-0.13625109014015346</v>
      </c>
    </row>
    <row r="220" spans="1:10" ht="11.25" customHeight="1" x14ac:dyDescent="0.2">
      <c r="A220" s="44" t="s">
        <v>32</v>
      </c>
      <c r="B220" s="39">
        <v>0</v>
      </c>
      <c r="C220" s="39">
        <v>0</v>
      </c>
      <c r="D220" s="39">
        <v>4625.8040999999994</v>
      </c>
      <c r="E220" s="39">
        <v>4702.4202659840348</v>
      </c>
      <c r="F220" s="39">
        <v>4730.1569999999992</v>
      </c>
      <c r="G220" s="39">
        <v>3378.7809348320948</v>
      </c>
      <c r="H220" s="40">
        <v>1.656277791444638E-2</v>
      </c>
      <c r="I220" s="40">
        <v>-0.28569370216842793</v>
      </c>
      <c r="J220" s="40">
        <v>-0.13625109014015346</v>
      </c>
    </row>
    <row r="221" spans="1:10" ht="11.25" customHeight="1" x14ac:dyDescent="0.2">
      <c r="A221" s="45" t="s">
        <v>25</v>
      </c>
      <c r="B221" s="39">
        <v>0</v>
      </c>
      <c r="C221" s="39">
        <v>0</v>
      </c>
      <c r="D221" s="39">
        <v>4625.8040999999994</v>
      </c>
      <c r="E221" s="39">
        <v>4702.4202659840348</v>
      </c>
      <c r="F221" s="39">
        <v>4730.1569999999992</v>
      </c>
      <c r="G221" s="39">
        <v>3378.7809348320948</v>
      </c>
      <c r="H221" s="40">
        <v>1.656277791444638E-2</v>
      </c>
      <c r="I221" s="40">
        <v>-0.28569370216842793</v>
      </c>
      <c r="J221" s="40">
        <v>-0.13625109014015346</v>
      </c>
    </row>
    <row r="222" spans="1:10" ht="11.25" customHeight="1" x14ac:dyDescent="0.2">
      <c r="A222" s="46" t="s">
        <v>25</v>
      </c>
      <c r="B222" s="39">
        <v>0</v>
      </c>
      <c r="C222" s="39">
        <v>0</v>
      </c>
      <c r="D222" s="39">
        <v>4625.8040999999994</v>
      </c>
      <c r="E222" s="39">
        <v>4702.4202659840348</v>
      </c>
      <c r="F222" s="39">
        <v>4730.1569999999992</v>
      </c>
      <c r="G222" s="39">
        <v>3378.7809348320948</v>
      </c>
      <c r="H222" s="40">
        <v>1.656277791444638E-2</v>
      </c>
      <c r="I222" s="40">
        <v>-0.28569370216842793</v>
      </c>
      <c r="J222" s="40">
        <v>-0.13625109014015346</v>
      </c>
    </row>
    <row r="223" spans="1:10" ht="11.25" customHeight="1" x14ac:dyDescent="0.2">
      <c r="A223" s="47" t="s">
        <v>25</v>
      </c>
      <c r="B223" s="39">
        <v>0</v>
      </c>
      <c r="C223" s="39">
        <v>0</v>
      </c>
      <c r="D223" s="39">
        <v>4625.8040999999994</v>
      </c>
      <c r="E223" s="39">
        <v>4702.4202659840348</v>
      </c>
      <c r="F223" s="39">
        <v>4730.1569999999992</v>
      </c>
      <c r="G223" s="39">
        <v>3378.7809348320948</v>
      </c>
      <c r="H223" s="40">
        <v>1.656277791444638E-2</v>
      </c>
      <c r="I223" s="40">
        <v>-0.28569370216842793</v>
      </c>
      <c r="J223" s="40">
        <v>-0.13625109014015346</v>
      </c>
    </row>
    <row r="224" spans="1:10" ht="11.25" customHeight="1" x14ac:dyDescent="0.2">
      <c r="A224" s="48" t="s">
        <v>25</v>
      </c>
      <c r="B224" s="39">
        <v>0</v>
      </c>
      <c r="C224" s="39">
        <v>0</v>
      </c>
      <c r="D224" s="39">
        <v>4625.8040999999994</v>
      </c>
      <c r="E224" s="39">
        <v>4702.4202659840348</v>
      </c>
      <c r="F224" s="39">
        <v>4730.1569999999992</v>
      </c>
      <c r="G224" s="39">
        <v>3378.7809348320948</v>
      </c>
      <c r="H224" s="40">
        <v>1.656277791444638E-2</v>
      </c>
      <c r="I224" s="40">
        <v>-0.28569370216842793</v>
      </c>
      <c r="J224" s="40">
        <v>-0.13625109014015346</v>
      </c>
    </row>
    <row r="225" spans="1:10" ht="11.25" customHeight="1" x14ac:dyDescent="0.2">
      <c r="A225" s="49">
        <v>44440</v>
      </c>
      <c r="B225" s="39">
        <v>0</v>
      </c>
      <c r="C225" s="39">
        <v>0</v>
      </c>
      <c r="D225" s="39">
        <v>102.0264</v>
      </c>
      <c r="E225" s="39">
        <v>103.71624060461048</v>
      </c>
      <c r="F225" s="39">
        <v>104.328</v>
      </c>
      <c r="G225" s="39">
        <v>74.522147440172247</v>
      </c>
      <c r="H225" s="40">
        <v>1.656277791444638E-2</v>
      </c>
      <c r="I225" s="40">
        <v>-0.28569370216842793</v>
      </c>
      <c r="J225" s="40">
        <v>-0.13625109014015346</v>
      </c>
    </row>
    <row r="226" spans="1:10" ht="11.25" customHeight="1" x14ac:dyDescent="0.2">
      <c r="A226" s="49">
        <v>44470</v>
      </c>
      <c r="B226" s="39">
        <v>0</v>
      </c>
      <c r="C226" s="39">
        <v>0</v>
      </c>
      <c r="D226" s="39">
        <v>109.92129999999999</v>
      </c>
      <c r="E226" s="39">
        <v>111.74190207996723</v>
      </c>
      <c r="F226" s="39">
        <v>112.401</v>
      </c>
      <c r="G226" s="39">
        <v>80.288742182566509</v>
      </c>
      <c r="H226" s="40">
        <v>1.656277791444638E-2</v>
      </c>
      <c r="I226" s="40">
        <v>-0.28569370216842815</v>
      </c>
      <c r="J226" s="40">
        <v>-0.13625109014015346</v>
      </c>
    </row>
    <row r="227" spans="1:10" ht="11.25" customHeight="1" x14ac:dyDescent="0.2">
      <c r="A227" s="49">
        <v>44501</v>
      </c>
      <c r="B227" s="39">
        <v>0</v>
      </c>
      <c r="C227" s="39">
        <v>0</v>
      </c>
      <c r="D227" s="39">
        <v>127.53299999999999</v>
      </c>
      <c r="E227" s="39">
        <v>129.64530075576309</v>
      </c>
      <c r="F227" s="39">
        <v>130.41</v>
      </c>
      <c r="G227" s="39">
        <v>93.152684300215299</v>
      </c>
      <c r="H227" s="40">
        <v>1.656277791444638E-2</v>
      </c>
      <c r="I227" s="40">
        <v>-0.28569370216842804</v>
      </c>
      <c r="J227" s="40">
        <v>-0.13625109014015346</v>
      </c>
    </row>
    <row r="228" spans="1:10" ht="11.25" customHeight="1" x14ac:dyDescent="0.2">
      <c r="A228" s="49">
        <v>44531</v>
      </c>
      <c r="B228" s="39">
        <v>0</v>
      </c>
      <c r="C228" s="39">
        <v>0</v>
      </c>
      <c r="D228" s="39">
        <v>121.76365</v>
      </c>
      <c r="E228" s="39">
        <v>123.78039429300239</v>
      </c>
      <c r="F228" s="39">
        <v>124.51050000000001</v>
      </c>
      <c r="G228" s="39">
        <v>88.938634296157943</v>
      </c>
      <c r="H228" s="40">
        <v>1.656277791444638E-2</v>
      </c>
      <c r="I228" s="40">
        <v>-0.28569370216842804</v>
      </c>
      <c r="J228" s="40">
        <v>-0.13625109014015346</v>
      </c>
    </row>
    <row r="229" spans="1:10" ht="11.25" customHeight="1" x14ac:dyDescent="0.2">
      <c r="A229" s="49">
        <v>44562</v>
      </c>
      <c r="B229" s="39">
        <v>0</v>
      </c>
      <c r="C229" s="39">
        <v>0</v>
      </c>
      <c r="D229" s="39">
        <v>715.70304999999996</v>
      </c>
      <c r="E229" s="39">
        <v>727.55708066984198</v>
      </c>
      <c r="F229" s="39">
        <v>731.84850000000006</v>
      </c>
      <c r="G229" s="39">
        <v>522.76399260858921</v>
      </c>
      <c r="H229" s="40">
        <v>1.6562777914446603E-2</v>
      </c>
      <c r="I229" s="40">
        <v>-0.28569370216842804</v>
      </c>
      <c r="J229" s="40">
        <v>-0.13625109014015346</v>
      </c>
    </row>
    <row r="230" spans="1:10" ht="11.25" customHeight="1" x14ac:dyDescent="0.2">
      <c r="A230" s="49">
        <v>44593</v>
      </c>
      <c r="B230" s="39">
        <v>0</v>
      </c>
      <c r="C230" s="39">
        <v>0</v>
      </c>
      <c r="D230" s="39">
        <v>378.95519999999999</v>
      </c>
      <c r="E230" s="39">
        <v>385.23175081712463</v>
      </c>
      <c r="F230" s="39">
        <v>387.50400000000002</v>
      </c>
      <c r="G230" s="39">
        <v>276.79654763492545</v>
      </c>
      <c r="H230" s="40">
        <v>1.656277791444638E-2</v>
      </c>
      <c r="I230" s="40">
        <v>-0.28569370216842815</v>
      </c>
      <c r="J230" s="40">
        <v>-0.13625109014015346</v>
      </c>
    </row>
    <row r="231" spans="1:10" ht="11.25" customHeight="1" x14ac:dyDescent="0.2">
      <c r="A231" s="49">
        <v>44621</v>
      </c>
      <c r="B231" s="39">
        <v>0</v>
      </c>
      <c r="C231" s="39">
        <v>0</v>
      </c>
      <c r="D231" s="39">
        <v>395.35229999999996</v>
      </c>
      <c r="E231" s="39">
        <v>401.9004323428656</v>
      </c>
      <c r="F231" s="39">
        <v>404.27100000000002</v>
      </c>
      <c r="G231" s="39">
        <v>288.77332133066744</v>
      </c>
      <c r="H231" s="40">
        <v>1.6562777914446603E-2</v>
      </c>
      <c r="I231" s="40">
        <v>-0.28569370216842804</v>
      </c>
      <c r="J231" s="40">
        <v>-0.13625109014015346</v>
      </c>
    </row>
    <row r="232" spans="1:10" ht="11.25" customHeight="1" x14ac:dyDescent="0.2">
      <c r="A232" s="49">
        <v>44652</v>
      </c>
      <c r="B232" s="39">
        <v>0</v>
      </c>
      <c r="C232" s="39">
        <v>0</v>
      </c>
      <c r="D232" s="39">
        <v>487.96554999999995</v>
      </c>
      <c r="E232" s="39">
        <v>496.04761503455069</v>
      </c>
      <c r="F232" s="39">
        <v>498.9735</v>
      </c>
      <c r="G232" s="39">
        <v>356.41991350106184</v>
      </c>
      <c r="H232" s="40">
        <v>1.6562777914446603E-2</v>
      </c>
      <c r="I232" s="40">
        <v>-0.28569370216842815</v>
      </c>
      <c r="J232" s="40">
        <v>-0.13625109014015357</v>
      </c>
    </row>
    <row r="233" spans="1:10" ht="11.25" customHeight="1" x14ac:dyDescent="0.2">
      <c r="A233" s="49">
        <v>44682</v>
      </c>
      <c r="B233" s="39">
        <v>0</v>
      </c>
      <c r="C233" s="39">
        <v>0</v>
      </c>
      <c r="D233" s="39">
        <v>762.16149999999993</v>
      </c>
      <c r="E233" s="39">
        <v>774.78501165944124</v>
      </c>
      <c r="F233" s="39">
        <v>779.3549999999999</v>
      </c>
      <c r="G233" s="39">
        <v>556.6981847465247</v>
      </c>
      <c r="H233" s="40">
        <v>1.656277791444638E-2</v>
      </c>
      <c r="I233" s="40">
        <v>-0.28569370216842804</v>
      </c>
      <c r="J233" s="40">
        <v>-0.13625109014015346</v>
      </c>
    </row>
    <row r="234" spans="1:10" ht="11.25" customHeight="1" x14ac:dyDescent="0.2">
      <c r="A234" s="49">
        <v>44713</v>
      </c>
      <c r="B234" s="39">
        <v>0</v>
      </c>
      <c r="C234" s="39">
        <v>0</v>
      </c>
      <c r="D234" s="39">
        <v>893.9455999999999</v>
      </c>
      <c r="E234" s="39">
        <v>908.7518224403965</v>
      </c>
      <c r="F234" s="39">
        <v>914.11199999999997</v>
      </c>
      <c r="G234" s="39">
        <v>652.95595852341387</v>
      </c>
      <c r="H234" s="40">
        <v>1.656277791444638E-2</v>
      </c>
      <c r="I234" s="40">
        <v>-0.28569370216842804</v>
      </c>
      <c r="J234" s="40">
        <v>-0.13625109014015346</v>
      </c>
    </row>
    <row r="235" spans="1:10" ht="11.25" customHeight="1" x14ac:dyDescent="0.2">
      <c r="A235" s="49">
        <v>44743</v>
      </c>
      <c r="B235" s="39">
        <v>0</v>
      </c>
      <c r="C235" s="39">
        <v>0</v>
      </c>
      <c r="D235" s="39">
        <v>461.85164999999995</v>
      </c>
      <c r="E235" s="39">
        <v>469.5011963083706</v>
      </c>
      <c r="F235" s="39">
        <v>472.27049999999997</v>
      </c>
      <c r="G235" s="39">
        <v>337.34579243006539</v>
      </c>
      <c r="H235" s="40">
        <v>1.656277791444638E-2</v>
      </c>
      <c r="I235" s="40">
        <v>-0.28569370216842804</v>
      </c>
      <c r="J235" s="40">
        <v>-0.13625109014015335</v>
      </c>
    </row>
    <row r="236" spans="1:10" ht="11.25" customHeight="1" x14ac:dyDescent="0.2">
      <c r="A236" s="49">
        <v>44774</v>
      </c>
      <c r="B236" s="39">
        <v>0</v>
      </c>
      <c r="C236" s="39">
        <v>0</v>
      </c>
      <c r="D236" s="39">
        <v>68.624899999999997</v>
      </c>
      <c r="E236" s="39">
        <v>69.761518978101094</v>
      </c>
      <c r="F236" s="39">
        <v>70.173000000000002</v>
      </c>
      <c r="G236" s="39">
        <v>50.1250158377349</v>
      </c>
      <c r="H236" s="40">
        <v>1.656277791444638E-2</v>
      </c>
      <c r="I236" s="40">
        <v>-0.28569370216842804</v>
      </c>
      <c r="J236" s="40">
        <v>-0.13625109014015335</v>
      </c>
    </row>
    <row r="237" spans="1:10" ht="11.25" customHeight="1" x14ac:dyDescent="0.2">
      <c r="A237" s="44" t="s">
        <v>42</v>
      </c>
      <c r="B237" s="39">
        <v>0</v>
      </c>
      <c r="C237" s="39">
        <v>0</v>
      </c>
      <c r="D237" s="39">
        <v>3097.8372999999992</v>
      </c>
      <c r="E237" s="39">
        <v>3149.1460912149882</v>
      </c>
      <c r="F237" s="39">
        <v>3167.721</v>
      </c>
      <c r="G237" s="39">
        <v>2262.7230600733251</v>
      </c>
      <c r="H237" s="40">
        <v>1.6562777914446603E-2</v>
      </c>
      <c r="I237" s="40">
        <v>-0.28569370216842804</v>
      </c>
      <c r="J237" s="40">
        <v>-0.13625109014015324</v>
      </c>
    </row>
    <row r="238" spans="1:10" ht="11.25" customHeight="1" x14ac:dyDescent="0.2">
      <c r="A238" s="45" t="s">
        <v>25</v>
      </c>
      <c r="B238" s="39">
        <v>0</v>
      </c>
      <c r="C238" s="39">
        <v>0</v>
      </c>
      <c r="D238" s="39">
        <v>3097.8372999999992</v>
      </c>
      <c r="E238" s="39">
        <v>3149.1460912149882</v>
      </c>
      <c r="F238" s="39">
        <v>3167.721</v>
      </c>
      <c r="G238" s="39">
        <v>2262.7230600733251</v>
      </c>
      <c r="H238" s="40">
        <v>1.6562777914446603E-2</v>
      </c>
      <c r="I238" s="40">
        <v>-0.28569370216842804</v>
      </c>
      <c r="J238" s="40">
        <v>-0.13625109014015324</v>
      </c>
    </row>
    <row r="239" spans="1:10" ht="11.25" customHeight="1" x14ac:dyDescent="0.2">
      <c r="A239" s="46" t="s">
        <v>25</v>
      </c>
      <c r="B239" s="39">
        <v>0</v>
      </c>
      <c r="C239" s="39">
        <v>0</v>
      </c>
      <c r="D239" s="39">
        <v>3097.8372999999992</v>
      </c>
      <c r="E239" s="39">
        <v>3149.1460912149882</v>
      </c>
      <c r="F239" s="39">
        <v>3167.721</v>
      </c>
      <c r="G239" s="39">
        <v>2262.7230600733251</v>
      </c>
      <c r="H239" s="40">
        <v>1.6562777914446603E-2</v>
      </c>
      <c r="I239" s="40">
        <v>-0.28569370216842804</v>
      </c>
      <c r="J239" s="40">
        <v>-0.13625109014015324</v>
      </c>
    </row>
    <row r="240" spans="1:10" ht="11.25" customHeight="1" x14ac:dyDescent="0.2">
      <c r="A240" s="47" t="s">
        <v>25</v>
      </c>
      <c r="B240" s="39">
        <v>0</v>
      </c>
      <c r="C240" s="39">
        <v>0</v>
      </c>
      <c r="D240" s="39">
        <v>3097.8372999999992</v>
      </c>
      <c r="E240" s="39">
        <v>3149.1460912149882</v>
      </c>
      <c r="F240" s="39">
        <v>3167.721</v>
      </c>
      <c r="G240" s="39">
        <v>2262.7230600733251</v>
      </c>
      <c r="H240" s="40">
        <v>1.6562777914446603E-2</v>
      </c>
      <c r="I240" s="40">
        <v>-0.28569370216842804</v>
      </c>
      <c r="J240" s="40">
        <v>-0.13625109014015324</v>
      </c>
    </row>
    <row r="241" spans="1:10" ht="11.25" customHeight="1" x14ac:dyDescent="0.2">
      <c r="A241" s="48" t="s">
        <v>25</v>
      </c>
      <c r="B241" s="39">
        <v>0</v>
      </c>
      <c r="C241" s="39">
        <v>0</v>
      </c>
      <c r="D241" s="39">
        <v>3097.8372999999992</v>
      </c>
      <c r="E241" s="39">
        <v>3149.1460912149882</v>
      </c>
      <c r="F241" s="39">
        <v>3167.721</v>
      </c>
      <c r="G241" s="39">
        <v>2262.7230600733251</v>
      </c>
      <c r="H241" s="40">
        <v>1.6562777914446603E-2</v>
      </c>
      <c r="I241" s="40">
        <v>-0.28569370216842804</v>
      </c>
      <c r="J241" s="40">
        <v>-0.13625109014015324</v>
      </c>
    </row>
    <row r="242" spans="1:10" ht="11.25" customHeight="1" x14ac:dyDescent="0.2">
      <c r="A242" s="49">
        <v>44440</v>
      </c>
      <c r="B242" s="39">
        <v>0</v>
      </c>
      <c r="C242" s="39">
        <v>0</v>
      </c>
      <c r="D242" s="39">
        <v>250.20759999999996</v>
      </c>
      <c r="E242" s="39">
        <v>254.35173291130661</v>
      </c>
      <c r="F242" s="39">
        <v>255.85199999999998</v>
      </c>
      <c r="G242" s="39">
        <v>182.75669491280334</v>
      </c>
      <c r="H242" s="40">
        <v>1.656277791444638E-2</v>
      </c>
      <c r="I242" s="40">
        <v>-0.28569370216842804</v>
      </c>
      <c r="J242" s="40">
        <v>-0.13625109014015335</v>
      </c>
    </row>
    <row r="243" spans="1:10" ht="11.25" customHeight="1" x14ac:dyDescent="0.2">
      <c r="A243" s="49">
        <v>44470</v>
      </c>
      <c r="B243" s="39">
        <v>0</v>
      </c>
      <c r="C243" s="39">
        <v>0</v>
      </c>
      <c r="D243" s="39">
        <v>246.26015000000001</v>
      </c>
      <c r="E243" s="39">
        <v>250.33890217362827</v>
      </c>
      <c r="F243" s="39">
        <v>251.81550000000001</v>
      </c>
      <c r="G243" s="39">
        <v>179.87339754160621</v>
      </c>
      <c r="H243" s="40">
        <v>1.656277791444638E-2</v>
      </c>
      <c r="I243" s="40">
        <v>-0.28569370216842804</v>
      </c>
      <c r="J243" s="40">
        <v>-0.13625109014015335</v>
      </c>
    </row>
    <row r="244" spans="1:10" ht="11.25" customHeight="1" x14ac:dyDescent="0.2">
      <c r="A244" s="49">
        <v>44501</v>
      </c>
      <c r="B244" s="39">
        <v>0</v>
      </c>
      <c r="C244" s="39">
        <v>0</v>
      </c>
      <c r="D244" s="39">
        <v>269.03389999999996</v>
      </c>
      <c r="E244" s="39">
        <v>273.48984873715739</v>
      </c>
      <c r="F244" s="39">
        <v>275.10300000000001</v>
      </c>
      <c r="G244" s="39">
        <v>196.50780545235892</v>
      </c>
      <c r="H244" s="40">
        <v>1.6562777914446603E-2</v>
      </c>
      <c r="I244" s="40">
        <v>-0.28569370216842815</v>
      </c>
      <c r="J244" s="40">
        <v>-0.13625109014015346</v>
      </c>
    </row>
    <row r="245" spans="1:10" ht="11.25" customHeight="1" x14ac:dyDescent="0.2">
      <c r="A245" s="49">
        <v>44531</v>
      </c>
      <c r="B245" s="39">
        <v>0</v>
      </c>
      <c r="C245" s="39">
        <v>0</v>
      </c>
      <c r="D245" s="39">
        <v>259.01344999999998</v>
      </c>
      <c r="E245" s="39">
        <v>263.30343224920455</v>
      </c>
      <c r="F245" s="39">
        <v>264.85649999999998</v>
      </c>
      <c r="G245" s="39">
        <v>189.18866597162773</v>
      </c>
      <c r="H245" s="40">
        <v>1.656277791444638E-2</v>
      </c>
      <c r="I245" s="40">
        <v>-0.28569370216842804</v>
      </c>
      <c r="J245" s="40">
        <v>-0.13625109014015346</v>
      </c>
    </row>
    <row r="246" spans="1:10" ht="11.25" customHeight="1" x14ac:dyDescent="0.2">
      <c r="A246" s="49">
        <v>44562</v>
      </c>
      <c r="B246" s="39">
        <v>0</v>
      </c>
      <c r="C246" s="39">
        <v>0</v>
      </c>
      <c r="D246" s="39">
        <v>251.72584999999998</v>
      </c>
      <c r="E246" s="39">
        <v>255.89512934887523</v>
      </c>
      <c r="F246" s="39">
        <v>257.40449999999998</v>
      </c>
      <c r="G246" s="39">
        <v>183.86565544018686</v>
      </c>
      <c r="H246" s="40">
        <v>1.656277791444638E-2</v>
      </c>
      <c r="I246" s="40">
        <v>-0.28569370216842804</v>
      </c>
      <c r="J246" s="40">
        <v>-0.13625109014015346</v>
      </c>
    </row>
    <row r="247" spans="1:10" ht="11.25" customHeight="1" x14ac:dyDescent="0.2">
      <c r="A247" s="49">
        <v>44593</v>
      </c>
      <c r="B247" s="39">
        <v>0</v>
      </c>
      <c r="C247" s="39">
        <v>0</v>
      </c>
      <c r="D247" s="39">
        <v>273.58864999999997</v>
      </c>
      <c r="E247" s="39">
        <v>278.12003804986318</v>
      </c>
      <c r="F247" s="39">
        <v>279.76049999999998</v>
      </c>
      <c r="G247" s="39">
        <v>199.83468703450947</v>
      </c>
      <c r="H247" s="40">
        <v>1.656277791444638E-2</v>
      </c>
      <c r="I247" s="40">
        <v>-0.28569370216842804</v>
      </c>
      <c r="J247" s="40">
        <v>-0.13625109014015357</v>
      </c>
    </row>
    <row r="248" spans="1:10" ht="11.25" customHeight="1" x14ac:dyDescent="0.2">
      <c r="A248" s="49">
        <v>44621</v>
      </c>
      <c r="B248" s="39">
        <v>0</v>
      </c>
      <c r="C248" s="39">
        <v>0</v>
      </c>
      <c r="D248" s="39">
        <v>274.80324999999999</v>
      </c>
      <c r="E248" s="39">
        <v>279.35475519991809</v>
      </c>
      <c r="F248" s="39">
        <v>281.0025</v>
      </c>
      <c r="G248" s="39">
        <v>200.72185545641631</v>
      </c>
      <c r="H248" s="40">
        <v>1.656277791444638E-2</v>
      </c>
      <c r="I248" s="40">
        <v>-0.28569370216842804</v>
      </c>
      <c r="J248" s="40">
        <v>-0.13625109014015335</v>
      </c>
    </row>
    <row r="249" spans="1:10" ht="11.25" customHeight="1" x14ac:dyDescent="0.2">
      <c r="A249" s="49">
        <v>44652</v>
      </c>
      <c r="B249" s="39">
        <v>0</v>
      </c>
      <c r="C249" s="39">
        <v>0</v>
      </c>
      <c r="D249" s="39">
        <v>255.36964999999998</v>
      </c>
      <c r="E249" s="39">
        <v>259.59928079903989</v>
      </c>
      <c r="F249" s="39">
        <v>261.13049999999998</v>
      </c>
      <c r="G249" s="39">
        <v>186.52716070590728</v>
      </c>
      <c r="H249" s="40">
        <v>1.656277791444638E-2</v>
      </c>
      <c r="I249" s="40">
        <v>-0.28569370216842804</v>
      </c>
      <c r="J249" s="40">
        <v>-0.13625109014015357</v>
      </c>
    </row>
    <row r="250" spans="1:10" ht="11.25" customHeight="1" x14ac:dyDescent="0.2">
      <c r="A250" s="49">
        <v>44682</v>
      </c>
      <c r="B250" s="39">
        <v>0</v>
      </c>
      <c r="C250" s="39">
        <v>0</v>
      </c>
      <c r="D250" s="39">
        <v>262.35359999999997</v>
      </c>
      <c r="E250" s="39">
        <v>266.69890441185549</v>
      </c>
      <c r="F250" s="39">
        <v>268.27199999999999</v>
      </c>
      <c r="G250" s="39">
        <v>191.62837913187147</v>
      </c>
      <c r="H250" s="40">
        <v>1.656277791444638E-2</v>
      </c>
      <c r="I250" s="40">
        <v>-0.28569370216842804</v>
      </c>
      <c r="J250" s="40">
        <v>-0.13625109014015346</v>
      </c>
    </row>
    <row r="251" spans="1:10" ht="11.25" customHeight="1" x14ac:dyDescent="0.2">
      <c r="A251" s="49">
        <v>44713</v>
      </c>
      <c r="B251" s="39">
        <v>0</v>
      </c>
      <c r="C251" s="39">
        <v>0</v>
      </c>
      <c r="D251" s="39">
        <v>228.04114999999999</v>
      </c>
      <c r="E251" s="39">
        <v>231.81814492280495</v>
      </c>
      <c r="F251" s="39">
        <v>233.18549999999999</v>
      </c>
      <c r="G251" s="39">
        <v>166.56587121300402</v>
      </c>
      <c r="H251" s="40">
        <v>1.656277791444638E-2</v>
      </c>
      <c r="I251" s="40">
        <v>-0.28569370216842804</v>
      </c>
      <c r="J251" s="40">
        <v>-0.13625109014015346</v>
      </c>
    </row>
    <row r="252" spans="1:10" ht="11.25" customHeight="1" x14ac:dyDescent="0.2">
      <c r="A252" s="49">
        <v>44743</v>
      </c>
      <c r="B252" s="39">
        <v>0</v>
      </c>
      <c r="C252" s="39">
        <v>0</v>
      </c>
      <c r="D252" s="39">
        <v>264.78279999999995</v>
      </c>
      <c r="E252" s="39">
        <v>269.16833871196525</v>
      </c>
      <c r="F252" s="39">
        <v>270.75599999999997</v>
      </c>
      <c r="G252" s="39">
        <v>193.40271597568508</v>
      </c>
      <c r="H252" s="40">
        <v>1.656277791444638E-2</v>
      </c>
      <c r="I252" s="40">
        <v>-0.28569370216842804</v>
      </c>
      <c r="J252" s="40">
        <v>-0.13625109014015346</v>
      </c>
    </row>
    <row r="253" spans="1:10" ht="11.25" customHeight="1" x14ac:dyDescent="0.2">
      <c r="A253" s="49">
        <v>44774</v>
      </c>
      <c r="B253" s="39">
        <v>0</v>
      </c>
      <c r="C253" s="39">
        <v>0</v>
      </c>
      <c r="D253" s="39">
        <v>262.65724999999998</v>
      </c>
      <c r="E253" s="39">
        <v>267.00758369936921</v>
      </c>
      <c r="F253" s="39">
        <v>268.58249999999998</v>
      </c>
      <c r="G253" s="39">
        <v>191.85017123734818</v>
      </c>
      <c r="H253" s="40">
        <v>1.656277791444638E-2</v>
      </c>
      <c r="I253" s="40">
        <v>-0.28569370216842793</v>
      </c>
      <c r="J253" s="40">
        <v>-0.13625109014015346</v>
      </c>
    </row>
    <row r="254" spans="1:10" ht="11.25" customHeight="1" x14ac:dyDescent="0.2">
      <c r="A254" s="44" t="s">
        <v>46</v>
      </c>
      <c r="B254" s="39">
        <v>0</v>
      </c>
      <c r="C254" s="39">
        <v>0</v>
      </c>
      <c r="D254" s="39">
        <v>2105.6244869999996</v>
      </c>
      <c r="E254" s="39">
        <v>2140.4994777494012</v>
      </c>
      <c r="F254" s="39">
        <v>2153.1249899999998</v>
      </c>
      <c r="G254" s="39">
        <v>1537.9907403755406</v>
      </c>
      <c r="H254" s="40">
        <v>1.6562777914446603E-2</v>
      </c>
      <c r="I254" s="40">
        <v>-0.28569370216842793</v>
      </c>
      <c r="J254" s="40">
        <v>-0.13625109014015335</v>
      </c>
    </row>
    <row r="255" spans="1:10" ht="11.25" customHeight="1" x14ac:dyDescent="0.2">
      <c r="A255" s="45" t="s">
        <v>47</v>
      </c>
      <c r="B255" s="39">
        <v>0</v>
      </c>
      <c r="C255" s="39">
        <v>0</v>
      </c>
      <c r="D255" s="39">
        <v>2105.6244869999996</v>
      </c>
      <c r="E255" s="39">
        <v>2140.4994777494012</v>
      </c>
      <c r="F255" s="39">
        <v>2153.1249899999998</v>
      </c>
      <c r="G255" s="39">
        <v>1537.9907403755406</v>
      </c>
      <c r="H255" s="40">
        <v>1.6562777914446603E-2</v>
      </c>
      <c r="I255" s="40">
        <v>-0.28569370216842793</v>
      </c>
      <c r="J255" s="40">
        <v>-0.13625109014015335</v>
      </c>
    </row>
    <row r="256" spans="1:10" ht="11.25" customHeight="1" x14ac:dyDescent="0.2">
      <c r="A256" s="46" t="s">
        <v>25</v>
      </c>
      <c r="B256" s="39">
        <v>0</v>
      </c>
      <c r="C256" s="39">
        <v>0</v>
      </c>
      <c r="D256" s="39">
        <v>2105.6244869999996</v>
      </c>
      <c r="E256" s="39">
        <v>2140.4994777494012</v>
      </c>
      <c r="F256" s="39">
        <v>2153.1249899999998</v>
      </c>
      <c r="G256" s="39">
        <v>1537.9907403755406</v>
      </c>
      <c r="H256" s="40">
        <v>1.6562777914446603E-2</v>
      </c>
      <c r="I256" s="40">
        <v>-0.28569370216842793</v>
      </c>
      <c r="J256" s="40">
        <v>-0.13625109014015335</v>
      </c>
    </row>
    <row r="257" spans="1:10" ht="11.25" customHeight="1" x14ac:dyDescent="0.2">
      <c r="A257" s="47" t="s">
        <v>25</v>
      </c>
      <c r="B257" s="39">
        <v>0</v>
      </c>
      <c r="C257" s="39">
        <v>0</v>
      </c>
      <c r="D257" s="39">
        <v>2105.6244869999996</v>
      </c>
      <c r="E257" s="39">
        <v>2140.4994777494012</v>
      </c>
      <c r="F257" s="39">
        <v>2153.1249899999998</v>
      </c>
      <c r="G257" s="39">
        <v>1537.9907403755406</v>
      </c>
      <c r="H257" s="40">
        <v>1.6562777914446603E-2</v>
      </c>
      <c r="I257" s="40">
        <v>-0.28569370216842793</v>
      </c>
      <c r="J257" s="40">
        <v>-0.13625109014015335</v>
      </c>
    </row>
    <row r="258" spans="1:10" ht="11.25" customHeight="1" x14ac:dyDescent="0.2">
      <c r="A258" s="48" t="s">
        <v>25</v>
      </c>
      <c r="B258" s="39">
        <v>0</v>
      </c>
      <c r="C258" s="39">
        <v>0</v>
      </c>
      <c r="D258" s="39">
        <v>2105.6244869999996</v>
      </c>
      <c r="E258" s="39">
        <v>2140.4994777494012</v>
      </c>
      <c r="F258" s="39">
        <v>2153.1249899999998</v>
      </c>
      <c r="G258" s="39">
        <v>1537.9907403755406</v>
      </c>
      <c r="H258" s="40">
        <v>1.6562777914446603E-2</v>
      </c>
      <c r="I258" s="40">
        <v>-0.28569370216842793</v>
      </c>
      <c r="J258" s="40">
        <v>-0.13625109014015335</v>
      </c>
    </row>
    <row r="259" spans="1:10" ht="11.25" customHeight="1" x14ac:dyDescent="0.2">
      <c r="A259" s="49">
        <v>44440</v>
      </c>
      <c r="B259" s="39">
        <v>0</v>
      </c>
      <c r="C259" s="39">
        <v>0</v>
      </c>
      <c r="D259" s="39">
        <v>228.05936899999998</v>
      </c>
      <c r="E259" s="39">
        <v>231.83666568005577</v>
      </c>
      <c r="F259" s="39">
        <v>233.20412999999999</v>
      </c>
      <c r="G259" s="39">
        <v>166.5791787393326</v>
      </c>
      <c r="H259" s="40">
        <v>1.656277791444638E-2</v>
      </c>
      <c r="I259" s="40">
        <v>-0.28569370216842815</v>
      </c>
      <c r="J259" s="40">
        <v>-0.13625109014015357</v>
      </c>
    </row>
    <row r="260" spans="1:10" ht="11.25" customHeight="1" x14ac:dyDescent="0.2">
      <c r="A260" s="49">
        <v>44470</v>
      </c>
      <c r="B260" s="39">
        <v>0</v>
      </c>
      <c r="C260" s="39">
        <v>0</v>
      </c>
      <c r="D260" s="39">
        <v>196.66195899999997</v>
      </c>
      <c r="E260" s="39">
        <v>199.91922735113693</v>
      </c>
      <c r="F260" s="39">
        <v>201.09842999999998</v>
      </c>
      <c r="G260" s="39">
        <v>143.64587503304151</v>
      </c>
      <c r="H260" s="40">
        <v>1.656277791444638E-2</v>
      </c>
      <c r="I260" s="40">
        <v>-0.28569370216842804</v>
      </c>
      <c r="J260" s="40">
        <v>-0.13625109014015346</v>
      </c>
    </row>
    <row r="261" spans="1:10" ht="11.25" customHeight="1" x14ac:dyDescent="0.2">
      <c r="A261" s="49">
        <v>44501</v>
      </c>
      <c r="B261" s="39">
        <v>0</v>
      </c>
      <c r="C261" s="39">
        <v>0</v>
      </c>
      <c r="D261" s="39">
        <v>239.19117799999998</v>
      </c>
      <c r="E261" s="39">
        <v>243.15284836030881</v>
      </c>
      <c r="F261" s="39">
        <v>244.58705999999998</v>
      </c>
      <c r="G261" s="39">
        <v>174.71007732610855</v>
      </c>
      <c r="H261" s="40">
        <v>1.656277791444638E-2</v>
      </c>
      <c r="I261" s="40">
        <v>-0.28569370216842804</v>
      </c>
      <c r="J261" s="40">
        <v>-0.13625109014015346</v>
      </c>
    </row>
    <row r="262" spans="1:10" ht="11.25" customHeight="1" x14ac:dyDescent="0.2">
      <c r="A262" s="49">
        <v>44531</v>
      </c>
      <c r="B262" s="39">
        <v>0</v>
      </c>
      <c r="C262" s="39">
        <v>0</v>
      </c>
      <c r="D262" s="39">
        <v>224.63419699999997</v>
      </c>
      <c r="E262" s="39">
        <v>228.354763316901</v>
      </c>
      <c r="F262" s="39">
        <v>229.70168999999999</v>
      </c>
      <c r="G262" s="39">
        <v>164.07736378955542</v>
      </c>
      <c r="H262" s="40">
        <v>1.6562777914446603E-2</v>
      </c>
      <c r="I262" s="40">
        <v>-0.28569370216842793</v>
      </c>
      <c r="J262" s="40">
        <v>-0.13625109014015346</v>
      </c>
    </row>
    <row r="263" spans="1:10" ht="11.25" customHeight="1" x14ac:dyDescent="0.2">
      <c r="A263" s="49">
        <v>44562</v>
      </c>
      <c r="B263" s="39">
        <v>0</v>
      </c>
      <c r="C263" s="39">
        <v>0</v>
      </c>
      <c r="D263" s="39">
        <v>228.91566199999997</v>
      </c>
      <c r="E263" s="39">
        <v>232.70714127084446</v>
      </c>
      <c r="F263" s="39">
        <v>234.07973999999999</v>
      </c>
      <c r="G263" s="39">
        <v>167.20463247677691</v>
      </c>
      <c r="H263" s="40">
        <v>1.656277791444638E-2</v>
      </c>
      <c r="I263" s="40">
        <v>-0.28569370216842804</v>
      </c>
      <c r="J263" s="40">
        <v>-0.13625109014015346</v>
      </c>
    </row>
    <row r="264" spans="1:10" ht="11.25" customHeight="1" x14ac:dyDescent="0.2">
      <c r="A264" s="49">
        <v>44593</v>
      </c>
      <c r="B264" s="39">
        <v>0</v>
      </c>
      <c r="C264" s="39">
        <v>0</v>
      </c>
      <c r="D264" s="39">
        <v>202.94144099999997</v>
      </c>
      <c r="E264" s="39">
        <v>206.3027150169207</v>
      </c>
      <c r="F264" s="39">
        <v>207.51956999999999</v>
      </c>
      <c r="G264" s="39">
        <v>148.23253577429972</v>
      </c>
      <c r="H264" s="40">
        <v>1.656277791444638E-2</v>
      </c>
      <c r="I264" s="40">
        <v>-0.28569370216842815</v>
      </c>
      <c r="J264" s="40">
        <v>-0.13625109014015369</v>
      </c>
    </row>
    <row r="265" spans="1:10" ht="11.25" customHeight="1" x14ac:dyDescent="0.2">
      <c r="A265" s="49">
        <v>44621</v>
      </c>
      <c r="B265" s="39">
        <v>0</v>
      </c>
      <c r="C265" s="39">
        <v>0</v>
      </c>
      <c r="D265" s="39">
        <v>180.67782299999999</v>
      </c>
      <c r="E265" s="39">
        <v>183.67034965641466</v>
      </c>
      <c r="F265" s="39">
        <v>184.75370999999998</v>
      </c>
      <c r="G265" s="39">
        <v>131.97073860074786</v>
      </c>
      <c r="H265" s="40">
        <v>1.656277791444638E-2</v>
      </c>
      <c r="I265" s="40">
        <v>-0.28569370216842804</v>
      </c>
      <c r="J265" s="40">
        <v>-0.13625109014015324</v>
      </c>
    </row>
    <row r="266" spans="1:10" ht="11.25" customHeight="1" x14ac:dyDescent="0.2">
      <c r="A266" s="49">
        <v>44652</v>
      </c>
      <c r="B266" s="39">
        <v>0</v>
      </c>
      <c r="C266" s="39">
        <v>0</v>
      </c>
      <c r="D266" s="39">
        <v>88.198178999999996</v>
      </c>
      <c r="E266" s="39">
        <v>89.658985851235585</v>
      </c>
      <c r="F266" s="39">
        <v>90.187830000000005</v>
      </c>
      <c r="G266" s="39">
        <v>64.421734956763174</v>
      </c>
      <c r="H266" s="40">
        <v>1.656277791444638E-2</v>
      </c>
      <c r="I266" s="40">
        <v>-0.28569370216842815</v>
      </c>
      <c r="J266" s="40">
        <v>-0.13625109014015346</v>
      </c>
    </row>
    <row r="267" spans="1:10" ht="11.25" customHeight="1" x14ac:dyDescent="0.2">
      <c r="A267" s="49">
        <v>44682</v>
      </c>
      <c r="B267" s="39">
        <v>0</v>
      </c>
      <c r="C267" s="39">
        <v>0</v>
      </c>
      <c r="D267" s="39">
        <v>91.052488999999994</v>
      </c>
      <c r="E267" s="39">
        <v>92.560571153864572</v>
      </c>
      <c r="F267" s="39">
        <v>93.106530000000006</v>
      </c>
      <c r="G267" s="39">
        <v>66.50658074824419</v>
      </c>
      <c r="H267" s="40">
        <v>1.656277791444638E-2</v>
      </c>
      <c r="I267" s="40">
        <v>-0.28569370216842804</v>
      </c>
      <c r="J267" s="40">
        <v>-0.13625109014015346</v>
      </c>
    </row>
    <row r="268" spans="1:10" ht="11.25" customHeight="1" x14ac:dyDescent="0.2">
      <c r="A268" s="49">
        <v>44713</v>
      </c>
      <c r="B268" s="39">
        <v>0</v>
      </c>
      <c r="C268" s="39">
        <v>0</v>
      </c>
      <c r="D268" s="39">
        <v>93.050505999999984</v>
      </c>
      <c r="E268" s="39">
        <v>94.591680865704859</v>
      </c>
      <c r="F268" s="39">
        <v>95.149619999999999</v>
      </c>
      <c r="G268" s="39">
        <v>67.965972802280888</v>
      </c>
      <c r="H268" s="40">
        <v>1.6562777914446603E-2</v>
      </c>
      <c r="I268" s="40">
        <v>-0.28569370216842815</v>
      </c>
      <c r="J268" s="40">
        <v>-0.13625109014015357</v>
      </c>
    </row>
    <row r="269" spans="1:10" ht="11.25" customHeight="1" x14ac:dyDescent="0.2">
      <c r="A269" s="49">
        <v>44743</v>
      </c>
      <c r="B269" s="39">
        <v>0</v>
      </c>
      <c r="C269" s="39">
        <v>0</v>
      </c>
      <c r="D269" s="39">
        <v>183.246702</v>
      </c>
      <c r="E269" s="39">
        <v>186.28177642878074</v>
      </c>
      <c r="F269" s="39">
        <v>187.38054</v>
      </c>
      <c r="G269" s="39">
        <v>133.84709981308077</v>
      </c>
      <c r="H269" s="40">
        <v>1.656277791444638E-2</v>
      </c>
      <c r="I269" s="40">
        <v>-0.28569370216842804</v>
      </c>
      <c r="J269" s="40">
        <v>-0.13625109014015357</v>
      </c>
    </row>
    <row r="270" spans="1:10" ht="11.25" customHeight="1" x14ac:dyDescent="0.2">
      <c r="A270" s="49">
        <v>44774</v>
      </c>
      <c r="B270" s="39">
        <v>0</v>
      </c>
      <c r="C270" s="39">
        <v>0</v>
      </c>
      <c r="D270" s="39">
        <v>148.99498199999999</v>
      </c>
      <c r="E270" s="39">
        <v>151.46275279723295</v>
      </c>
      <c r="F270" s="39">
        <v>152.35614000000001</v>
      </c>
      <c r="G270" s="39">
        <v>108.82895031530867</v>
      </c>
      <c r="H270" s="40">
        <v>1.6562777914446603E-2</v>
      </c>
      <c r="I270" s="40">
        <v>-0.28569370216842804</v>
      </c>
      <c r="J270" s="40">
        <v>-0.13625109014015346</v>
      </c>
    </row>
    <row r="271" spans="1:10" ht="11.25" customHeight="1" x14ac:dyDescent="0.2">
      <c r="A271" s="42" t="s">
        <v>43</v>
      </c>
      <c r="B271" s="39">
        <v>0</v>
      </c>
      <c r="C271" s="39">
        <v>0</v>
      </c>
      <c r="D271" s="39">
        <v>41696.384639999997</v>
      </c>
      <c r="E271" s="39">
        <v>42386.358100804202</v>
      </c>
      <c r="F271" s="39">
        <v>42635.121280000014</v>
      </c>
      <c r="G271" s="39">
        <v>30455.427321954587</v>
      </c>
      <c r="H271" s="40">
        <v>1.6547560819992535E-2</v>
      </c>
      <c r="I271" s="40">
        <v>-0.28567278788905148</v>
      </c>
      <c r="J271" s="40">
        <v>-0.13624469730376687</v>
      </c>
    </row>
    <row r="272" spans="1:10" ht="11.25" customHeight="1" x14ac:dyDescent="0.2">
      <c r="A272" s="43" t="s">
        <v>23</v>
      </c>
      <c r="B272" s="39">
        <v>0</v>
      </c>
      <c r="C272" s="39">
        <v>0</v>
      </c>
      <c r="D272" s="39">
        <v>41696.384639999997</v>
      </c>
      <c r="E272" s="39">
        <v>42386.358100804202</v>
      </c>
      <c r="F272" s="39">
        <v>42635.121280000014</v>
      </c>
      <c r="G272" s="39">
        <v>30455.427321954587</v>
      </c>
      <c r="H272" s="40">
        <v>1.6547560819992535E-2</v>
      </c>
      <c r="I272" s="40">
        <v>-0.28567278788905148</v>
      </c>
      <c r="J272" s="40">
        <v>-0.13624469730376687</v>
      </c>
    </row>
    <row r="273" spans="1:10" ht="11.25" customHeight="1" x14ac:dyDescent="0.2">
      <c r="A273" s="44" t="s">
        <v>44</v>
      </c>
      <c r="B273" s="39">
        <v>0</v>
      </c>
      <c r="C273" s="39">
        <v>0</v>
      </c>
      <c r="D273" s="39">
        <v>41696.384639999997</v>
      </c>
      <c r="E273" s="39">
        <v>42386.358100804202</v>
      </c>
      <c r="F273" s="39">
        <v>42635.121280000014</v>
      </c>
      <c r="G273" s="39">
        <v>30455.427321954587</v>
      </c>
      <c r="H273" s="40">
        <v>1.6547560819992535E-2</v>
      </c>
      <c r="I273" s="40">
        <v>-0.28567278788905148</v>
      </c>
      <c r="J273" s="40">
        <v>-0.13624469730376687</v>
      </c>
    </row>
    <row r="274" spans="1:10" ht="11.25" customHeight="1" x14ac:dyDescent="0.2">
      <c r="A274" s="45" t="s">
        <v>45</v>
      </c>
      <c r="B274" s="39">
        <v>0</v>
      </c>
      <c r="C274" s="39">
        <v>0</v>
      </c>
      <c r="D274" s="39">
        <v>41696.384639999997</v>
      </c>
      <c r="E274" s="39">
        <v>42386.358100804202</v>
      </c>
      <c r="F274" s="39">
        <v>42635.121280000014</v>
      </c>
      <c r="G274" s="39">
        <v>30455.427321954587</v>
      </c>
      <c r="H274" s="40">
        <v>1.6547560819992535E-2</v>
      </c>
      <c r="I274" s="40">
        <v>-0.28567278788905148</v>
      </c>
      <c r="J274" s="40">
        <v>-0.13624469730376687</v>
      </c>
    </row>
    <row r="275" spans="1:10" ht="11.25" customHeight="1" x14ac:dyDescent="0.2">
      <c r="A275" s="46" t="s">
        <v>25</v>
      </c>
      <c r="B275" s="39">
        <v>0</v>
      </c>
      <c r="C275" s="39">
        <v>0</v>
      </c>
      <c r="D275" s="39">
        <v>41696.384639999997</v>
      </c>
      <c r="E275" s="39">
        <v>42386.358100804202</v>
      </c>
      <c r="F275" s="39">
        <v>42635.121280000014</v>
      </c>
      <c r="G275" s="39">
        <v>30455.427321954587</v>
      </c>
      <c r="H275" s="40">
        <v>1.6547560819992535E-2</v>
      </c>
      <c r="I275" s="40">
        <v>-0.28567278788905148</v>
      </c>
      <c r="J275" s="40">
        <v>-0.13624469730376687</v>
      </c>
    </row>
    <row r="276" spans="1:10" ht="11.25" customHeight="1" x14ac:dyDescent="0.2">
      <c r="A276" s="47" t="s">
        <v>25</v>
      </c>
      <c r="B276" s="39">
        <v>0</v>
      </c>
      <c r="C276" s="39">
        <v>0</v>
      </c>
      <c r="D276" s="39">
        <v>41696.384639999997</v>
      </c>
      <c r="E276" s="39">
        <v>42386.358100804202</v>
      </c>
      <c r="F276" s="39">
        <v>42635.121280000014</v>
      </c>
      <c r="G276" s="39">
        <v>30455.427321954587</v>
      </c>
      <c r="H276" s="40">
        <v>1.6547560819992535E-2</v>
      </c>
      <c r="I276" s="40">
        <v>-0.28567278788905148</v>
      </c>
      <c r="J276" s="40">
        <v>-0.13624469730376687</v>
      </c>
    </row>
    <row r="277" spans="1:10" ht="11.25" customHeight="1" x14ac:dyDescent="0.2">
      <c r="A277" s="48" t="s">
        <v>25</v>
      </c>
      <c r="B277" s="39">
        <v>0</v>
      </c>
      <c r="C277" s="39">
        <v>0</v>
      </c>
      <c r="D277" s="39">
        <v>41696.384639999997</v>
      </c>
      <c r="E277" s="39">
        <v>42386.358100804202</v>
      </c>
      <c r="F277" s="39">
        <v>42635.121280000014</v>
      </c>
      <c r="G277" s="39">
        <v>30455.427321954587</v>
      </c>
      <c r="H277" s="40">
        <v>1.6547560819992535E-2</v>
      </c>
      <c r="I277" s="40">
        <v>-0.28567278788905148</v>
      </c>
      <c r="J277" s="40">
        <v>-0.13624469730376687</v>
      </c>
    </row>
    <row r="278" spans="1:10" ht="11.25" customHeight="1" x14ac:dyDescent="0.2">
      <c r="A278" s="49">
        <v>44440</v>
      </c>
      <c r="B278" s="39">
        <v>0</v>
      </c>
      <c r="C278" s="39">
        <v>0</v>
      </c>
      <c r="D278" s="39">
        <v>3409.3421400000002</v>
      </c>
      <c r="E278" s="39">
        <v>3465.7584364178133</v>
      </c>
      <c r="F278" s="39">
        <v>3486.0987800000003</v>
      </c>
      <c r="G278" s="39">
        <v>2490.2152226607795</v>
      </c>
      <c r="H278" s="40">
        <v>1.6547560819992313E-2</v>
      </c>
      <c r="I278" s="40">
        <v>-0.28567278788905137</v>
      </c>
      <c r="J278" s="40">
        <v>-0.13624469730376698</v>
      </c>
    </row>
    <row r="279" spans="1:10" ht="11.25" customHeight="1" x14ac:dyDescent="0.2">
      <c r="A279" s="49">
        <v>44470</v>
      </c>
      <c r="B279" s="39">
        <v>0</v>
      </c>
      <c r="C279" s="39">
        <v>0</v>
      </c>
      <c r="D279" s="39">
        <v>3522.9089399999998</v>
      </c>
      <c r="E279" s="39">
        <v>3581.2044899479451</v>
      </c>
      <c r="F279" s="39">
        <v>3602.2223800000006</v>
      </c>
      <c r="G279" s="39">
        <v>2573.1654701090665</v>
      </c>
      <c r="H279" s="40">
        <v>1.6547560819992535E-2</v>
      </c>
      <c r="I279" s="40">
        <v>-0.28567278788905137</v>
      </c>
      <c r="J279" s="40">
        <v>-0.13624469730376687</v>
      </c>
    </row>
    <row r="280" spans="1:10" ht="11.25" customHeight="1" x14ac:dyDescent="0.2">
      <c r="A280" s="49">
        <v>44501</v>
      </c>
      <c r="B280" s="39">
        <v>0</v>
      </c>
      <c r="C280" s="39">
        <v>0</v>
      </c>
      <c r="D280" s="39">
        <v>3409.3421400000002</v>
      </c>
      <c r="E280" s="39">
        <v>3465.7584364178133</v>
      </c>
      <c r="F280" s="39">
        <v>3486.0987800000003</v>
      </c>
      <c r="G280" s="39">
        <v>2490.2152226607795</v>
      </c>
      <c r="H280" s="40">
        <v>1.6547560819992313E-2</v>
      </c>
      <c r="I280" s="40">
        <v>-0.28567278788905137</v>
      </c>
      <c r="J280" s="40">
        <v>-0.13624469730376698</v>
      </c>
    </row>
    <row r="281" spans="1:10" ht="11.25" customHeight="1" x14ac:dyDescent="0.2">
      <c r="A281" s="49">
        <v>44531</v>
      </c>
      <c r="B281" s="39">
        <v>0</v>
      </c>
      <c r="C281" s="39">
        <v>0</v>
      </c>
      <c r="D281" s="39">
        <v>3522.9089399999998</v>
      </c>
      <c r="E281" s="39">
        <v>3581.2044899479451</v>
      </c>
      <c r="F281" s="39">
        <v>3602.2223800000006</v>
      </c>
      <c r="G281" s="39">
        <v>2573.1654701090665</v>
      </c>
      <c r="H281" s="40">
        <v>1.6547560819992535E-2</v>
      </c>
      <c r="I281" s="40">
        <v>-0.28567278788905137</v>
      </c>
      <c r="J281" s="40">
        <v>-0.13624469730376687</v>
      </c>
    </row>
    <row r="282" spans="1:10" ht="11.25" customHeight="1" x14ac:dyDescent="0.2">
      <c r="A282" s="49">
        <v>44562</v>
      </c>
      <c r="B282" s="39">
        <v>0</v>
      </c>
      <c r="C282" s="39">
        <v>0</v>
      </c>
      <c r="D282" s="39">
        <v>3527.9192399999997</v>
      </c>
      <c r="E282" s="39">
        <v>3586.2976981919214</v>
      </c>
      <c r="F282" s="39">
        <v>3607.34548</v>
      </c>
      <c r="G282" s="39">
        <v>2576.825039849432</v>
      </c>
      <c r="H282" s="40">
        <v>1.6547560819992535E-2</v>
      </c>
      <c r="I282" s="40">
        <v>-0.28567278788905126</v>
      </c>
      <c r="J282" s="40">
        <v>-0.13624469730376676</v>
      </c>
    </row>
    <row r="283" spans="1:10" ht="11.25" customHeight="1" x14ac:dyDescent="0.2">
      <c r="A283" s="49">
        <v>44593</v>
      </c>
      <c r="B283" s="39">
        <v>0</v>
      </c>
      <c r="C283" s="39">
        <v>0</v>
      </c>
      <c r="D283" s="39">
        <v>3186.5507999999995</v>
      </c>
      <c r="E283" s="39">
        <v>3239.2804431689951</v>
      </c>
      <c r="F283" s="39">
        <v>3258.2916</v>
      </c>
      <c r="G283" s="39">
        <v>2327.486354872522</v>
      </c>
      <c r="H283" s="40">
        <v>1.6547560819992535E-2</v>
      </c>
      <c r="I283" s="40">
        <v>-0.28567278788905137</v>
      </c>
      <c r="J283" s="40">
        <v>-0.13624469730376687</v>
      </c>
    </row>
    <row r="284" spans="1:10" ht="11.25" customHeight="1" x14ac:dyDescent="0.2">
      <c r="A284" s="49">
        <v>44621</v>
      </c>
      <c r="B284" s="39">
        <v>0</v>
      </c>
      <c r="C284" s="39">
        <v>0</v>
      </c>
      <c r="D284" s="39">
        <v>3537.93984</v>
      </c>
      <c r="E284" s="39">
        <v>3596.4841146798744</v>
      </c>
      <c r="F284" s="39">
        <v>3617.5916800000005</v>
      </c>
      <c r="G284" s="39">
        <v>2584.1441793301633</v>
      </c>
      <c r="H284" s="40">
        <v>1.6547560819992535E-2</v>
      </c>
      <c r="I284" s="40">
        <v>-0.28567278788905137</v>
      </c>
      <c r="J284" s="40">
        <v>-0.13624469730376687</v>
      </c>
    </row>
    <row r="285" spans="1:10" ht="11.25" customHeight="1" x14ac:dyDescent="0.2">
      <c r="A285" s="49">
        <v>44652</v>
      </c>
      <c r="B285" s="39">
        <v>0</v>
      </c>
      <c r="C285" s="39">
        <v>0</v>
      </c>
      <c r="D285" s="39">
        <v>3423.7049999999999</v>
      </c>
      <c r="E285" s="39">
        <v>3480.3589667172123</v>
      </c>
      <c r="F285" s="39">
        <v>3500.7850000000003</v>
      </c>
      <c r="G285" s="39">
        <v>2500.7059892498273</v>
      </c>
      <c r="H285" s="40">
        <v>1.6547560819992535E-2</v>
      </c>
      <c r="I285" s="40">
        <v>-0.28567278788905137</v>
      </c>
      <c r="J285" s="40">
        <v>-0.13624469730376676</v>
      </c>
    </row>
    <row r="286" spans="1:10" ht="11.25" customHeight="1" x14ac:dyDescent="0.2">
      <c r="A286" s="49">
        <v>44682</v>
      </c>
      <c r="B286" s="39">
        <v>0</v>
      </c>
      <c r="C286" s="39">
        <v>0</v>
      </c>
      <c r="D286" s="39">
        <v>3537.93984</v>
      </c>
      <c r="E286" s="39">
        <v>3596.4841146798744</v>
      </c>
      <c r="F286" s="39">
        <v>3617.5916800000005</v>
      </c>
      <c r="G286" s="39">
        <v>2584.1441793301633</v>
      </c>
      <c r="H286" s="40">
        <v>1.6547560819992535E-2</v>
      </c>
      <c r="I286" s="40">
        <v>-0.28567278788905137</v>
      </c>
      <c r="J286" s="40">
        <v>-0.13624469730376687</v>
      </c>
    </row>
    <row r="287" spans="1:10" ht="11.25" customHeight="1" x14ac:dyDescent="0.2">
      <c r="A287" s="49">
        <v>44713</v>
      </c>
      <c r="B287" s="39">
        <v>0</v>
      </c>
      <c r="C287" s="39">
        <v>0</v>
      </c>
      <c r="D287" s="39">
        <v>3423.7049999999999</v>
      </c>
      <c r="E287" s="39">
        <v>3480.3589667172123</v>
      </c>
      <c r="F287" s="39">
        <v>3500.7850000000003</v>
      </c>
      <c r="G287" s="39">
        <v>2500.7059892498273</v>
      </c>
      <c r="H287" s="40">
        <v>1.6547560819992535E-2</v>
      </c>
      <c r="I287" s="40">
        <v>-0.28567278788905137</v>
      </c>
      <c r="J287" s="40">
        <v>-0.13624469730376676</v>
      </c>
    </row>
    <row r="288" spans="1:10" ht="11.25" customHeight="1" x14ac:dyDescent="0.2">
      <c r="A288" s="49">
        <v>44743</v>
      </c>
      <c r="B288" s="39">
        <v>0</v>
      </c>
      <c r="C288" s="39">
        <v>0</v>
      </c>
      <c r="D288" s="39">
        <v>3597.0613799999996</v>
      </c>
      <c r="E288" s="39">
        <v>3656.5839719587962</v>
      </c>
      <c r="F288" s="39">
        <v>3678.0442600000001</v>
      </c>
      <c r="G288" s="39">
        <v>2627.3271022664771</v>
      </c>
      <c r="H288" s="40">
        <v>1.6547560819992535E-2</v>
      </c>
      <c r="I288" s="40">
        <v>-0.28567278788905137</v>
      </c>
      <c r="J288" s="40">
        <v>-0.13624469730376676</v>
      </c>
    </row>
    <row r="289" spans="1:10" ht="11.25" customHeight="1" x14ac:dyDescent="0.2">
      <c r="A289" s="49">
        <v>44774</v>
      </c>
      <c r="B289" s="39">
        <v>0</v>
      </c>
      <c r="C289" s="39">
        <v>0</v>
      </c>
      <c r="D289" s="39">
        <v>3597.0613799999996</v>
      </c>
      <c r="E289" s="39">
        <v>3656.5839719587962</v>
      </c>
      <c r="F289" s="39">
        <v>3678.0442600000001</v>
      </c>
      <c r="G289" s="39">
        <v>2627.3271022664771</v>
      </c>
      <c r="H289" s="40">
        <v>1.6547560819992535E-2</v>
      </c>
      <c r="I289" s="40">
        <v>-0.28567278788905137</v>
      </c>
      <c r="J289" s="40">
        <v>-0.13624469730376676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37EA-E42B-4504-8C11-4C9C39961BB6}">
  <dimension ref="A1:G143"/>
  <sheetViews>
    <sheetView showGridLines="0" workbookViewId="0"/>
  </sheetViews>
  <sheetFormatPr defaultRowHeight="11.25" customHeight="1" x14ac:dyDescent="0.2"/>
  <cols>
    <col min="1" max="1" width="33.21875" style="14" bestFit="1" customWidth="1"/>
    <col min="2" max="2" width="19.77734375" style="39" bestFit="1" customWidth="1"/>
    <col min="3" max="3" width="21.109375" style="39" bestFit="1" customWidth="1"/>
    <col min="4" max="4" width="19.77734375" style="39" bestFit="1" customWidth="1"/>
    <col min="5" max="5" width="21.109375" style="39" bestFit="1" customWidth="1"/>
    <col min="6" max="7" width="13.77734375" style="39" bestFit="1" customWidth="1"/>
    <col min="8" max="16384" width="8.88671875" style="14"/>
  </cols>
  <sheetData>
    <row r="1" spans="1:7" ht="11.25" customHeight="1" x14ac:dyDescent="0.2">
      <c r="A1" s="38" t="s">
        <v>554</v>
      </c>
      <c r="B1" s="39" t="s">
        <v>580</v>
      </c>
      <c r="C1" s="39" t="s">
        <v>581</v>
      </c>
      <c r="D1" s="39" t="s">
        <v>582</v>
      </c>
      <c r="E1" s="39" t="s">
        <v>583</v>
      </c>
      <c r="F1" s="39" t="s">
        <v>584</v>
      </c>
      <c r="G1" s="39" t="s">
        <v>585</v>
      </c>
    </row>
    <row r="2" spans="1:7" ht="11.25" customHeight="1" x14ac:dyDescent="0.2">
      <c r="A2" s="41" t="s">
        <v>572</v>
      </c>
      <c r="B2" s="39">
        <v>0</v>
      </c>
      <c r="C2" s="39">
        <v>271.83507300000019</v>
      </c>
      <c r="D2" s="39">
        <v>0</v>
      </c>
      <c r="E2" s="39">
        <v>234.79724796542192</v>
      </c>
      <c r="F2" s="39">
        <v>271.83507300000019</v>
      </c>
      <c r="G2" s="39">
        <v>234.79724796542192</v>
      </c>
    </row>
    <row r="3" spans="1:7" ht="11.25" customHeight="1" x14ac:dyDescent="0.2">
      <c r="A3" s="42" t="s">
        <v>31</v>
      </c>
      <c r="B3" s="39">
        <v>0</v>
      </c>
      <c r="C3" s="39">
        <v>271.83507300000019</v>
      </c>
      <c r="D3" s="39">
        <v>0</v>
      </c>
      <c r="E3" s="39">
        <v>234.79724796542192</v>
      </c>
      <c r="F3" s="39">
        <v>271.83507300000019</v>
      </c>
      <c r="G3" s="39">
        <v>234.79724796542192</v>
      </c>
    </row>
    <row r="4" spans="1:7" ht="11.25" customHeight="1" x14ac:dyDescent="0.2">
      <c r="A4" s="43" t="s">
        <v>23</v>
      </c>
      <c r="B4" s="39">
        <v>0</v>
      </c>
      <c r="C4" s="39">
        <v>271.83507300000019</v>
      </c>
      <c r="D4" s="39">
        <v>0</v>
      </c>
      <c r="E4" s="39">
        <v>234.79724796542192</v>
      </c>
      <c r="F4" s="39">
        <v>271.83507300000019</v>
      </c>
      <c r="G4" s="39">
        <v>234.79724796542192</v>
      </c>
    </row>
    <row r="5" spans="1:7" ht="11.25" customHeight="1" x14ac:dyDescent="0.2">
      <c r="A5" s="44" t="s">
        <v>46</v>
      </c>
      <c r="B5" s="39">
        <v>0</v>
      </c>
      <c r="C5" s="39">
        <v>271.83507300000019</v>
      </c>
      <c r="D5" s="39">
        <v>0</v>
      </c>
      <c r="E5" s="39">
        <v>234.79724796542192</v>
      </c>
      <c r="F5" s="39">
        <v>271.83507300000019</v>
      </c>
      <c r="G5" s="39">
        <v>234.79724796542192</v>
      </c>
    </row>
    <row r="6" spans="1:7" ht="11.25" customHeight="1" x14ac:dyDescent="0.2">
      <c r="A6" s="45" t="s">
        <v>47</v>
      </c>
      <c r="B6" s="39">
        <v>0</v>
      </c>
      <c r="C6" s="39">
        <v>271.83507300000019</v>
      </c>
      <c r="D6" s="39">
        <v>0</v>
      </c>
      <c r="E6" s="39">
        <v>234.79724796542192</v>
      </c>
      <c r="F6" s="39">
        <v>271.83507300000019</v>
      </c>
      <c r="G6" s="39">
        <v>234.79724796542192</v>
      </c>
    </row>
    <row r="7" spans="1:7" ht="11.25" customHeight="1" x14ac:dyDescent="0.2">
      <c r="A7" s="46" t="s">
        <v>25</v>
      </c>
      <c r="B7" s="39">
        <v>0</v>
      </c>
      <c r="C7" s="39">
        <v>271.83507300000019</v>
      </c>
      <c r="D7" s="39">
        <v>0</v>
      </c>
      <c r="E7" s="39">
        <v>234.79724796542192</v>
      </c>
      <c r="F7" s="39">
        <v>271.83507300000019</v>
      </c>
      <c r="G7" s="39">
        <v>234.79724796542192</v>
      </c>
    </row>
    <row r="8" spans="1:7" ht="11.25" customHeight="1" x14ac:dyDescent="0.2">
      <c r="A8" s="47" t="s">
        <v>25</v>
      </c>
      <c r="B8" s="39">
        <v>0</v>
      </c>
      <c r="C8" s="39">
        <v>271.83507300000019</v>
      </c>
      <c r="D8" s="39">
        <v>0</v>
      </c>
      <c r="E8" s="39">
        <v>234.79724796542192</v>
      </c>
      <c r="F8" s="39">
        <v>271.83507300000019</v>
      </c>
      <c r="G8" s="39">
        <v>234.79724796542192</v>
      </c>
    </row>
    <row r="9" spans="1:7" ht="11.25" customHeight="1" x14ac:dyDescent="0.2">
      <c r="A9" s="48" t="s">
        <v>25</v>
      </c>
      <c r="B9" s="39">
        <v>0</v>
      </c>
      <c r="C9" s="39">
        <v>271.83507300000019</v>
      </c>
      <c r="D9" s="39">
        <v>0</v>
      </c>
      <c r="E9" s="39">
        <v>234.79724796542192</v>
      </c>
      <c r="F9" s="39">
        <v>271.83507300000019</v>
      </c>
      <c r="G9" s="39">
        <v>234.79724796542192</v>
      </c>
    </row>
    <row r="10" spans="1:7" ht="11.25" customHeight="1" x14ac:dyDescent="0.2">
      <c r="A10" s="49">
        <v>44440</v>
      </c>
      <c r="B10" s="39">
        <v>0</v>
      </c>
      <c r="C10" s="39">
        <v>29.442351000000055</v>
      </c>
      <c r="D10" s="39">
        <v>0</v>
      </c>
      <c r="E10" s="39">
        <v>25.430798579961014</v>
      </c>
      <c r="F10" s="39">
        <v>29.442351000000055</v>
      </c>
      <c r="G10" s="39">
        <v>25.430798579961014</v>
      </c>
    </row>
    <row r="11" spans="1:7" ht="11.25" customHeight="1" x14ac:dyDescent="0.2">
      <c r="A11" s="49">
        <v>44470</v>
      </c>
      <c r="B11" s="39">
        <v>0</v>
      </c>
      <c r="C11" s="39">
        <v>25.388961000000023</v>
      </c>
      <c r="D11" s="39">
        <v>0</v>
      </c>
      <c r="E11" s="39">
        <v>21.929687386224181</v>
      </c>
      <c r="F11" s="39">
        <v>25.388961000000023</v>
      </c>
      <c r="G11" s="39">
        <v>21.929687386224181</v>
      </c>
    </row>
    <row r="12" spans="1:7" ht="11.25" customHeight="1" x14ac:dyDescent="0.2">
      <c r="A12" s="49">
        <v>44501</v>
      </c>
      <c r="B12" s="39">
        <v>0</v>
      </c>
      <c r="C12" s="39">
        <v>30.879461999999993</v>
      </c>
      <c r="D12" s="39">
        <v>0</v>
      </c>
      <c r="E12" s="39">
        <v>26.672101639558552</v>
      </c>
      <c r="F12" s="39">
        <v>30.879461999999993</v>
      </c>
      <c r="G12" s="39">
        <v>26.672101639558552</v>
      </c>
    </row>
    <row r="13" spans="1:7" ht="11.25" customHeight="1" x14ac:dyDescent="0.2">
      <c r="A13" s="49">
        <v>44531</v>
      </c>
      <c r="B13" s="39">
        <v>0</v>
      </c>
      <c r="C13" s="39">
        <v>29.000163000000022</v>
      </c>
      <c r="D13" s="39">
        <v>0</v>
      </c>
      <c r="E13" s="39">
        <v>25.048859177007877</v>
      </c>
      <c r="F13" s="39">
        <v>29.000163000000022</v>
      </c>
      <c r="G13" s="39">
        <v>25.048859177007877</v>
      </c>
    </row>
    <row r="14" spans="1:7" ht="11.25" customHeight="1" x14ac:dyDescent="0.2">
      <c r="A14" s="49">
        <v>44562</v>
      </c>
      <c r="B14" s="39">
        <v>0</v>
      </c>
      <c r="C14" s="39">
        <v>29.552898000000031</v>
      </c>
      <c r="D14" s="39">
        <v>0</v>
      </c>
      <c r="E14" s="39">
        <v>25.526283430699266</v>
      </c>
      <c r="F14" s="39">
        <v>29.552898000000031</v>
      </c>
      <c r="G14" s="39">
        <v>25.526283430699266</v>
      </c>
    </row>
    <row r="15" spans="1:7" ht="11.25" customHeight="1" x14ac:dyDescent="0.2">
      <c r="A15" s="49">
        <v>44593</v>
      </c>
      <c r="B15" s="39">
        <v>0</v>
      </c>
      <c r="C15" s="39">
        <v>26.199639000000019</v>
      </c>
      <c r="D15" s="39">
        <v>0</v>
      </c>
      <c r="E15" s="39">
        <v>22.629909624971535</v>
      </c>
      <c r="F15" s="39">
        <v>26.199639000000019</v>
      </c>
      <c r="G15" s="39">
        <v>22.629909624971535</v>
      </c>
    </row>
    <row r="16" spans="1:7" ht="11.25" customHeight="1" x14ac:dyDescent="0.2">
      <c r="A16" s="49">
        <v>44621</v>
      </c>
      <c r="B16" s="39">
        <v>0</v>
      </c>
      <c r="C16" s="39">
        <v>23.325417000000009</v>
      </c>
      <c r="D16" s="39">
        <v>0</v>
      </c>
      <c r="E16" s="39">
        <v>20.147303505776339</v>
      </c>
      <c r="F16" s="39">
        <v>23.325417000000009</v>
      </c>
      <c r="G16" s="39">
        <v>20.147303505776339</v>
      </c>
    </row>
    <row r="17" spans="1:7" ht="11.25" customHeight="1" x14ac:dyDescent="0.2">
      <c r="A17" s="49">
        <v>44652</v>
      </c>
      <c r="B17" s="39">
        <v>0</v>
      </c>
      <c r="C17" s="39">
        <v>11.386341000000002</v>
      </c>
      <c r="D17" s="39">
        <v>0</v>
      </c>
      <c r="E17" s="39">
        <v>9.8349396260424751</v>
      </c>
      <c r="F17" s="39">
        <v>11.386341000000002</v>
      </c>
      <c r="G17" s="39">
        <v>9.8349396260424751</v>
      </c>
    </row>
    <row r="18" spans="1:7" ht="11.25" customHeight="1" x14ac:dyDescent="0.2">
      <c r="A18" s="49">
        <v>44682</v>
      </c>
      <c r="B18" s="39">
        <v>0</v>
      </c>
      <c r="C18" s="39">
        <v>11.754830999999994</v>
      </c>
      <c r="D18" s="39">
        <v>0</v>
      </c>
      <c r="E18" s="39">
        <v>10.153222461836723</v>
      </c>
      <c r="F18" s="39">
        <v>11.754830999999994</v>
      </c>
      <c r="G18" s="39">
        <v>10.153222461836723</v>
      </c>
    </row>
    <row r="19" spans="1:7" ht="11.25" customHeight="1" x14ac:dyDescent="0.2">
      <c r="A19" s="49">
        <v>44713</v>
      </c>
      <c r="B19" s="39">
        <v>0</v>
      </c>
      <c r="C19" s="39">
        <v>12.012774000000013</v>
      </c>
      <c r="D19" s="39">
        <v>0</v>
      </c>
      <c r="E19" s="39">
        <v>10.376020446892719</v>
      </c>
      <c r="F19" s="39">
        <v>12.012774000000013</v>
      </c>
      <c r="G19" s="39">
        <v>10.376020446892719</v>
      </c>
    </row>
    <row r="20" spans="1:7" ht="11.25" customHeight="1" x14ac:dyDescent="0.2">
      <c r="A20" s="49">
        <v>44743</v>
      </c>
      <c r="B20" s="39">
        <v>0</v>
      </c>
      <c r="C20" s="39">
        <v>23.657057999999999</v>
      </c>
      <c r="D20" s="39">
        <v>0</v>
      </c>
      <c r="E20" s="39">
        <v>20.43375805799116</v>
      </c>
      <c r="F20" s="39">
        <v>23.657057999999999</v>
      </c>
      <c r="G20" s="39">
        <v>20.43375805799116</v>
      </c>
    </row>
    <row r="21" spans="1:7" ht="11.25" customHeight="1" x14ac:dyDescent="0.2">
      <c r="A21" s="49">
        <v>44774</v>
      </c>
      <c r="B21" s="39">
        <v>0</v>
      </c>
      <c r="C21" s="39">
        <v>19.235178000000008</v>
      </c>
      <c r="D21" s="39">
        <v>0</v>
      </c>
      <c r="E21" s="39">
        <v>16.614364028460109</v>
      </c>
      <c r="F21" s="39">
        <v>19.235178000000008</v>
      </c>
      <c r="G21" s="39">
        <v>16.614364028460109</v>
      </c>
    </row>
    <row r="22" spans="1:7" ht="11.25" customHeight="1" x14ac:dyDescent="0.2">
      <c r="A22" s="41" t="s">
        <v>569</v>
      </c>
      <c r="B22" s="39">
        <v>0</v>
      </c>
      <c r="C22" s="39">
        <v>2051.1594999999998</v>
      </c>
      <c r="D22" s="39">
        <v>0</v>
      </c>
      <c r="E22" s="39">
        <v>1667.9879152363501</v>
      </c>
      <c r="F22" s="39">
        <v>2051.1594999999998</v>
      </c>
      <c r="G22" s="39">
        <v>1667.9879152363501</v>
      </c>
    </row>
    <row r="23" spans="1:7" ht="11.25" customHeight="1" x14ac:dyDescent="0.2">
      <c r="A23" s="42" t="s">
        <v>22</v>
      </c>
      <c r="B23" s="39">
        <v>0</v>
      </c>
      <c r="C23" s="39">
        <v>2051.1594999999998</v>
      </c>
      <c r="D23" s="39">
        <v>0</v>
      </c>
      <c r="E23" s="39">
        <v>1667.9879152363501</v>
      </c>
      <c r="F23" s="39">
        <v>2051.1594999999998</v>
      </c>
      <c r="G23" s="39">
        <v>1667.9879152363501</v>
      </c>
    </row>
    <row r="24" spans="1:7" ht="11.25" customHeight="1" x14ac:dyDescent="0.2">
      <c r="A24" s="43" t="s">
        <v>23</v>
      </c>
      <c r="B24" s="39">
        <v>0</v>
      </c>
      <c r="C24" s="39">
        <v>2051.1594999999998</v>
      </c>
      <c r="D24" s="39">
        <v>0</v>
      </c>
      <c r="E24" s="39">
        <v>1667.9879152363501</v>
      </c>
      <c r="F24" s="39">
        <v>2051.1594999999998</v>
      </c>
      <c r="G24" s="39">
        <v>1667.9879152363501</v>
      </c>
    </row>
    <row r="25" spans="1:7" ht="11.25" customHeight="1" x14ac:dyDescent="0.2">
      <c r="A25" s="44" t="s">
        <v>24</v>
      </c>
      <c r="B25" s="39">
        <v>0</v>
      </c>
      <c r="C25" s="39">
        <v>2051.1594999999998</v>
      </c>
      <c r="D25" s="39">
        <v>0</v>
      </c>
      <c r="E25" s="39">
        <v>1667.9879152363501</v>
      </c>
      <c r="F25" s="39">
        <v>2051.1594999999998</v>
      </c>
      <c r="G25" s="39">
        <v>1667.9879152363501</v>
      </c>
    </row>
    <row r="26" spans="1:7" ht="11.25" customHeight="1" x14ac:dyDescent="0.2">
      <c r="A26" s="45" t="s">
        <v>27</v>
      </c>
      <c r="B26" s="39">
        <v>0</v>
      </c>
      <c r="C26" s="39">
        <v>820.61250000000007</v>
      </c>
      <c r="D26" s="39">
        <v>0</v>
      </c>
      <c r="E26" s="39">
        <v>667.30779188219958</v>
      </c>
      <c r="F26" s="39">
        <v>820.61250000000007</v>
      </c>
      <c r="G26" s="39">
        <v>667.30779188219958</v>
      </c>
    </row>
    <row r="27" spans="1:7" ht="11.25" customHeight="1" x14ac:dyDescent="0.2">
      <c r="A27" s="46" t="s">
        <v>25</v>
      </c>
      <c r="B27" s="39">
        <v>0</v>
      </c>
      <c r="C27" s="39">
        <v>820.61250000000007</v>
      </c>
      <c r="D27" s="39">
        <v>0</v>
      </c>
      <c r="E27" s="39">
        <v>667.30779188219958</v>
      </c>
      <c r="F27" s="39">
        <v>820.61250000000007</v>
      </c>
      <c r="G27" s="39">
        <v>667.30779188219958</v>
      </c>
    </row>
    <row r="28" spans="1:7" ht="11.25" customHeight="1" x14ac:dyDescent="0.2">
      <c r="A28" s="47" t="s">
        <v>25</v>
      </c>
      <c r="B28" s="39">
        <v>0</v>
      </c>
      <c r="C28" s="39">
        <v>820.61250000000007</v>
      </c>
      <c r="D28" s="39">
        <v>0</v>
      </c>
      <c r="E28" s="39">
        <v>667.30779188219958</v>
      </c>
      <c r="F28" s="39">
        <v>820.61250000000007</v>
      </c>
      <c r="G28" s="39">
        <v>667.30779188219958</v>
      </c>
    </row>
    <row r="29" spans="1:7" ht="11.25" customHeight="1" x14ac:dyDescent="0.2">
      <c r="A29" s="48" t="s">
        <v>25</v>
      </c>
      <c r="B29" s="39">
        <v>0</v>
      </c>
      <c r="C29" s="39">
        <v>820.61250000000007</v>
      </c>
      <c r="D29" s="39">
        <v>0</v>
      </c>
      <c r="E29" s="39">
        <v>667.30779188219958</v>
      </c>
      <c r="F29" s="39">
        <v>820.61250000000007</v>
      </c>
      <c r="G29" s="39">
        <v>667.30779188219958</v>
      </c>
    </row>
    <row r="30" spans="1:7" ht="11.25" customHeight="1" x14ac:dyDescent="0.2">
      <c r="A30" s="49">
        <v>44440</v>
      </c>
      <c r="B30" s="39">
        <v>0</v>
      </c>
      <c r="C30" s="39">
        <v>20.775000000000002</v>
      </c>
      <c r="D30" s="39">
        <v>0</v>
      </c>
      <c r="E30" s="39">
        <v>16.893868148916447</v>
      </c>
      <c r="F30" s="39">
        <v>20.775000000000002</v>
      </c>
      <c r="G30" s="39">
        <v>16.893868148916447</v>
      </c>
    </row>
    <row r="31" spans="1:7" ht="11.25" customHeight="1" x14ac:dyDescent="0.2">
      <c r="A31" s="49">
        <v>44470</v>
      </c>
      <c r="B31" s="39">
        <v>0</v>
      </c>
      <c r="C31" s="39">
        <v>20.775000000000002</v>
      </c>
      <c r="D31" s="39">
        <v>0</v>
      </c>
      <c r="E31" s="39">
        <v>16.893868148916447</v>
      </c>
      <c r="F31" s="39">
        <v>20.775000000000002</v>
      </c>
      <c r="G31" s="39">
        <v>16.893868148916447</v>
      </c>
    </row>
    <row r="32" spans="1:7" ht="11.25" customHeight="1" x14ac:dyDescent="0.2">
      <c r="A32" s="49">
        <v>44501</v>
      </c>
      <c r="B32" s="39">
        <v>0</v>
      </c>
      <c r="C32" s="39">
        <v>31.162500000000005</v>
      </c>
      <c r="D32" s="39">
        <v>0</v>
      </c>
      <c r="E32" s="39">
        <v>25.340802223374666</v>
      </c>
      <c r="F32" s="39">
        <v>31.162500000000005</v>
      </c>
      <c r="G32" s="39">
        <v>25.340802223374666</v>
      </c>
    </row>
    <row r="33" spans="1:7" ht="11.25" customHeight="1" x14ac:dyDescent="0.2">
      <c r="A33" s="49">
        <v>44531</v>
      </c>
      <c r="B33" s="39">
        <v>0</v>
      </c>
      <c r="C33" s="39">
        <v>31.162500000000005</v>
      </c>
      <c r="D33" s="39">
        <v>0</v>
      </c>
      <c r="E33" s="39">
        <v>25.340802223374666</v>
      </c>
      <c r="F33" s="39">
        <v>31.162500000000005</v>
      </c>
      <c r="G33" s="39">
        <v>25.340802223374666</v>
      </c>
    </row>
    <row r="34" spans="1:7" ht="11.25" customHeight="1" x14ac:dyDescent="0.2">
      <c r="A34" s="49">
        <v>44562</v>
      </c>
      <c r="B34" s="39">
        <v>0</v>
      </c>
      <c r="C34" s="39">
        <v>31.162500000000005</v>
      </c>
      <c r="D34" s="39">
        <v>0</v>
      </c>
      <c r="E34" s="39">
        <v>25.340802223374666</v>
      </c>
      <c r="F34" s="39">
        <v>31.162500000000005</v>
      </c>
      <c r="G34" s="39">
        <v>25.340802223374666</v>
      </c>
    </row>
    <row r="35" spans="1:7" ht="11.25" customHeight="1" x14ac:dyDescent="0.2">
      <c r="A35" s="49">
        <v>44593</v>
      </c>
      <c r="B35" s="39">
        <v>0</v>
      </c>
      <c r="C35" s="39">
        <v>62.32500000000001</v>
      </c>
      <c r="D35" s="39">
        <v>0</v>
      </c>
      <c r="E35" s="39">
        <v>50.681604446749333</v>
      </c>
      <c r="F35" s="39">
        <v>62.32500000000001</v>
      </c>
      <c r="G35" s="39">
        <v>50.681604446749333</v>
      </c>
    </row>
    <row r="36" spans="1:7" ht="11.25" customHeight="1" x14ac:dyDescent="0.2">
      <c r="A36" s="49">
        <v>44621</v>
      </c>
      <c r="B36" s="39">
        <v>0</v>
      </c>
      <c r="C36" s="39">
        <v>103.87500000000001</v>
      </c>
      <c r="D36" s="39">
        <v>0</v>
      </c>
      <c r="E36" s="39">
        <v>84.469340744582226</v>
      </c>
      <c r="F36" s="39">
        <v>103.87500000000001</v>
      </c>
      <c r="G36" s="39">
        <v>84.469340744582226</v>
      </c>
    </row>
    <row r="37" spans="1:7" ht="11.25" customHeight="1" x14ac:dyDescent="0.2">
      <c r="A37" s="49">
        <v>44652</v>
      </c>
      <c r="B37" s="39">
        <v>0</v>
      </c>
      <c r="C37" s="39">
        <v>103.87500000000001</v>
      </c>
      <c r="D37" s="39">
        <v>0</v>
      </c>
      <c r="E37" s="39">
        <v>84.469340744582226</v>
      </c>
      <c r="F37" s="39">
        <v>103.87500000000001</v>
      </c>
      <c r="G37" s="39">
        <v>84.469340744582226</v>
      </c>
    </row>
    <row r="38" spans="1:7" ht="11.25" customHeight="1" x14ac:dyDescent="0.2">
      <c r="A38" s="49">
        <v>44682</v>
      </c>
      <c r="B38" s="39">
        <v>0</v>
      </c>
      <c r="C38" s="39">
        <v>103.87500000000001</v>
      </c>
      <c r="D38" s="39">
        <v>0</v>
      </c>
      <c r="E38" s="39">
        <v>84.469340744582226</v>
      </c>
      <c r="F38" s="39">
        <v>103.87500000000001</v>
      </c>
      <c r="G38" s="39">
        <v>84.469340744582226</v>
      </c>
    </row>
    <row r="39" spans="1:7" ht="11.25" customHeight="1" x14ac:dyDescent="0.2">
      <c r="A39" s="49">
        <v>44713</v>
      </c>
      <c r="B39" s="39">
        <v>0</v>
      </c>
      <c r="C39" s="39">
        <v>103.87500000000001</v>
      </c>
      <c r="D39" s="39">
        <v>0</v>
      </c>
      <c r="E39" s="39">
        <v>84.469340744582226</v>
      </c>
      <c r="F39" s="39">
        <v>103.87500000000001</v>
      </c>
      <c r="G39" s="39">
        <v>84.469340744582226</v>
      </c>
    </row>
    <row r="40" spans="1:7" ht="11.25" customHeight="1" x14ac:dyDescent="0.2">
      <c r="A40" s="49">
        <v>44743</v>
      </c>
      <c r="B40" s="39">
        <v>0</v>
      </c>
      <c r="C40" s="39">
        <v>103.87500000000001</v>
      </c>
      <c r="D40" s="39">
        <v>0</v>
      </c>
      <c r="E40" s="39">
        <v>84.469340744582226</v>
      </c>
      <c r="F40" s="39">
        <v>103.87500000000001</v>
      </c>
      <c r="G40" s="39">
        <v>84.469340744582226</v>
      </c>
    </row>
    <row r="41" spans="1:7" ht="11.25" customHeight="1" x14ac:dyDescent="0.2">
      <c r="A41" s="49">
        <v>44774</v>
      </c>
      <c r="B41" s="39">
        <v>0</v>
      </c>
      <c r="C41" s="39">
        <v>103.87500000000001</v>
      </c>
      <c r="D41" s="39">
        <v>0</v>
      </c>
      <c r="E41" s="39">
        <v>84.469340744582226</v>
      </c>
      <c r="F41" s="39">
        <v>103.87500000000001</v>
      </c>
      <c r="G41" s="39">
        <v>84.469340744582226</v>
      </c>
    </row>
    <row r="42" spans="1:7" ht="11.25" customHeight="1" x14ac:dyDescent="0.2">
      <c r="A42" s="45" t="s">
        <v>28</v>
      </c>
      <c r="B42" s="39">
        <v>0</v>
      </c>
      <c r="C42" s="39">
        <v>921.95389000000023</v>
      </c>
      <c r="D42" s="39">
        <v>0</v>
      </c>
      <c r="E42" s="39">
        <v>749.74120492678423</v>
      </c>
      <c r="F42" s="39">
        <v>921.95389000000023</v>
      </c>
      <c r="G42" s="39">
        <v>749.74120492678423</v>
      </c>
    </row>
    <row r="43" spans="1:7" ht="11.25" customHeight="1" x14ac:dyDescent="0.2">
      <c r="A43" s="46" t="s">
        <v>25</v>
      </c>
      <c r="B43" s="39">
        <v>0</v>
      </c>
      <c r="C43" s="39">
        <v>921.95389000000023</v>
      </c>
      <c r="D43" s="39">
        <v>0</v>
      </c>
      <c r="E43" s="39">
        <v>749.74120492678423</v>
      </c>
      <c r="F43" s="39">
        <v>921.95389000000023</v>
      </c>
      <c r="G43" s="39">
        <v>749.74120492678423</v>
      </c>
    </row>
    <row r="44" spans="1:7" ht="11.25" customHeight="1" x14ac:dyDescent="0.2">
      <c r="A44" s="47" t="s">
        <v>25</v>
      </c>
      <c r="B44" s="39">
        <v>0</v>
      </c>
      <c r="C44" s="39">
        <v>921.95389000000023</v>
      </c>
      <c r="D44" s="39">
        <v>0</v>
      </c>
      <c r="E44" s="39">
        <v>749.74120492678423</v>
      </c>
      <c r="F44" s="39">
        <v>921.95389000000023</v>
      </c>
      <c r="G44" s="39">
        <v>749.74120492678423</v>
      </c>
    </row>
    <row r="45" spans="1:7" ht="11.25" customHeight="1" x14ac:dyDescent="0.2">
      <c r="A45" s="48" t="s">
        <v>25</v>
      </c>
      <c r="B45" s="39">
        <v>0</v>
      </c>
      <c r="C45" s="39">
        <v>921.95389000000023</v>
      </c>
      <c r="D45" s="39">
        <v>0</v>
      </c>
      <c r="E45" s="39">
        <v>749.74120492678423</v>
      </c>
      <c r="F45" s="39">
        <v>921.95389000000023</v>
      </c>
      <c r="G45" s="39">
        <v>749.74120492678423</v>
      </c>
    </row>
    <row r="46" spans="1:7" ht="11.25" customHeight="1" x14ac:dyDescent="0.2">
      <c r="A46" s="49">
        <v>44440</v>
      </c>
      <c r="B46" s="39">
        <v>0</v>
      </c>
      <c r="C46" s="39">
        <v>28.125240000000009</v>
      </c>
      <c r="D46" s="39">
        <v>0</v>
      </c>
      <c r="E46" s="39">
        <v>22.871698416994573</v>
      </c>
      <c r="F46" s="39">
        <v>28.125240000000009</v>
      </c>
      <c r="G46" s="39">
        <v>22.871698416994573</v>
      </c>
    </row>
    <row r="47" spans="1:7" ht="11.25" customHeight="1" x14ac:dyDescent="0.2">
      <c r="A47" s="49">
        <v>44470</v>
      </c>
      <c r="B47" s="39">
        <v>0</v>
      </c>
      <c r="C47" s="39">
        <v>28.338310000000007</v>
      </c>
      <c r="D47" s="39">
        <v>0</v>
      </c>
      <c r="E47" s="39">
        <v>23.044968859547563</v>
      </c>
      <c r="F47" s="39">
        <v>28.338310000000007</v>
      </c>
      <c r="G47" s="39">
        <v>23.044968859547563</v>
      </c>
    </row>
    <row r="48" spans="1:7" ht="11.25" customHeight="1" x14ac:dyDescent="0.2">
      <c r="A48" s="49">
        <v>44501</v>
      </c>
      <c r="B48" s="39">
        <v>0</v>
      </c>
      <c r="C48" s="39">
        <v>44.744700000000009</v>
      </c>
      <c r="D48" s="39">
        <v>0</v>
      </c>
      <c r="E48" s="39">
        <v>36.386792936127726</v>
      </c>
      <c r="F48" s="39">
        <v>44.744700000000009</v>
      </c>
      <c r="G48" s="39">
        <v>36.386792936127726</v>
      </c>
    </row>
    <row r="49" spans="1:7" ht="11.25" customHeight="1" x14ac:dyDescent="0.2">
      <c r="A49" s="49">
        <v>44531</v>
      </c>
      <c r="B49" s="39">
        <v>0</v>
      </c>
      <c r="C49" s="39">
        <v>44.744700000000009</v>
      </c>
      <c r="D49" s="39">
        <v>0</v>
      </c>
      <c r="E49" s="39">
        <v>36.386792936127726</v>
      </c>
      <c r="F49" s="39">
        <v>44.744700000000009</v>
      </c>
      <c r="G49" s="39">
        <v>36.386792936127726</v>
      </c>
    </row>
    <row r="50" spans="1:7" ht="11.25" customHeight="1" x14ac:dyDescent="0.2">
      <c r="A50" s="49">
        <v>44562</v>
      </c>
      <c r="B50" s="39">
        <v>0</v>
      </c>
      <c r="C50" s="39">
        <v>44.744700000000009</v>
      </c>
      <c r="D50" s="39">
        <v>0</v>
      </c>
      <c r="E50" s="39">
        <v>36.386792936127726</v>
      </c>
      <c r="F50" s="39">
        <v>44.744700000000009</v>
      </c>
      <c r="G50" s="39">
        <v>36.386792936127726</v>
      </c>
    </row>
    <row r="51" spans="1:7" ht="11.25" customHeight="1" x14ac:dyDescent="0.2">
      <c r="A51" s="49">
        <v>44593</v>
      </c>
      <c r="B51" s="39">
        <v>0</v>
      </c>
      <c r="C51" s="39">
        <v>89.489400000000018</v>
      </c>
      <c r="D51" s="39">
        <v>0</v>
      </c>
      <c r="E51" s="39">
        <v>72.773585872255453</v>
      </c>
      <c r="F51" s="39">
        <v>89.489400000000018</v>
      </c>
      <c r="G51" s="39">
        <v>72.773585872255453</v>
      </c>
    </row>
    <row r="52" spans="1:7" ht="11.25" customHeight="1" x14ac:dyDescent="0.2">
      <c r="A52" s="49">
        <v>44621</v>
      </c>
      <c r="B52" s="39">
        <v>0</v>
      </c>
      <c r="C52" s="39">
        <v>119.53227000000004</v>
      </c>
      <c r="D52" s="39">
        <v>0</v>
      </c>
      <c r="E52" s="39">
        <v>97.204718272226941</v>
      </c>
      <c r="F52" s="39">
        <v>119.53227000000004</v>
      </c>
      <c r="G52" s="39">
        <v>97.204718272226941</v>
      </c>
    </row>
    <row r="53" spans="1:7" ht="11.25" customHeight="1" x14ac:dyDescent="0.2">
      <c r="A53" s="49">
        <v>44652</v>
      </c>
      <c r="B53" s="39">
        <v>0</v>
      </c>
      <c r="C53" s="39">
        <v>104.83044000000002</v>
      </c>
      <c r="D53" s="39">
        <v>0</v>
      </c>
      <c r="E53" s="39">
        <v>85.249057736070682</v>
      </c>
      <c r="F53" s="39">
        <v>104.83044000000002</v>
      </c>
      <c r="G53" s="39">
        <v>85.249057736070682</v>
      </c>
    </row>
    <row r="54" spans="1:7" ht="11.25" customHeight="1" x14ac:dyDescent="0.2">
      <c r="A54" s="49">
        <v>44682</v>
      </c>
      <c r="B54" s="39">
        <v>0</v>
      </c>
      <c r="C54" s="39">
        <v>105.46965000000003</v>
      </c>
      <c r="D54" s="39">
        <v>0</v>
      </c>
      <c r="E54" s="39">
        <v>85.768869063729639</v>
      </c>
      <c r="F54" s="39">
        <v>105.46965000000003</v>
      </c>
      <c r="G54" s="39">
        <v>85.768869063729639</v>
      </c>
    </row>
    <row r="55" spans="1:7" ht="11.25" customHeight="1" x14ac:dyDescent="0.2">
      <c r="A55" s="49">
        <v>44713</v>
      </c>
      <c r="B55" s="39">
        <v>0</v>
      </c>
      <c r="C55" s="39">
        <v>102.48667000000002</v>
      </c>
      <c r="D55" s="39">
        <v>0</v>
      </c>
      <c r="E55" s="39">
        <v>83.343082867987789</v>
      </c>
      <c r="F55" s="39">
        <v>102.48667000000002</v>
      </c>
      <c r="G55" s="39">
        <v>83.343082867987789</v>
      </c>
    </row>
    <row r="56" spans="1:7" ht="11.25" customHeight="1" x14ac:dyDescent="0.2">
      <c r="A56" s="49">
        <v>44743</v>
      </c>
      <c r="B56" s="39">
        <v>0</v>
      </c>
      <c r="C56" s="39">
        <v>104.19123000000002</v>
      </c>
      <c r="D56" s="39">
        <v>0</v>
      </c>
      <c r="E56" s="39">
        <v>84.729246408411711</v>
      </c>
      <c r="F56" s="39">
        <v>104.19123000000002</v>
      </c>
      <c r="G56" s="39">
        <v>84.729246408411711</v>
      </c>
    </row>
    <row r="57" spans="1:7" ht="11.25" customHeight="1" x14ac:dyDescent="0.2">
      <c r="A57" s="49">
        <v>44774</v>
      </c>
      <c r="B57" s="39">
        <v>0</v>
      </c>
      <c r="C57" s="39">
        <v>105.25658000000003</v>
      </c>
      <c r="D57" s="39">
        <v>0</v>
      </c>
      <c r="E57" s="39">
        <v>85.595598621176649</v>
      </c>
      <c r="F57" s="39">
        <v>105.25658000000003</v>
      </c>
      <c r="G57" s="39">
        <v>85.595598621176649</v>
      </c>
    </row>
    <row r="58" spans="1:7" ht="11.25" customHeight="1" x14ac:dyDescent="0.2">
      <c r="A58" s="45" t="s">
        <v>29</v>
      </c>
      <c r="B58" s="39">
        <v>0</v>
      </c>
      <c r="C58" s="39">
        <v>308.59311000000025</v>
      </c>
      <c r="D58" s="39">
        <v>0</v>
      </c>
      <c r="E58" s="39">
        <v>250.93891842736636</v>
      </c>
      <c r="F58" s="39">
        <v>308.59311000000025</v>
      </c>
      <c r="G58" s="39">
        <v>250.93891842736636</v>
      </c>
    </row>
    <row r="59" spans="1:7" ht="11.25" customHeight="1" x14ac:dyDescent="0.2">
      <c r="A59" s="46" t="s">
        <v>25</v>
      </c>
      <c r="B59" s="39">
        <v>0</v>
      </c>
      <c r="C59" s="39">
        <v>308.59311000000025</v>
      </c>
      <c r="D59" s="39">
        <v>0</v>
      </c>
      <c r="E59" s="39">
        <v>250.93891842736636</v>
      </c>
      <c r="F59" s="39">
        <v>308.59311000000025</v>
      </c>
      <c r="G59" s="39">
        <v>250.93891842736636</v>
      </c>
    </row>
    <row r="60" spans="1:7" ht="11.25" customHeight="1" x14ac:dyDescent="0.2">
      <c r="A60" s="47" t="s">
        <v>25</v>
      </c>
      <c r="B60" s="39">
        <v>0</v>
      </c>
      <c r="C60" s="39">
        <v>308.59311000000025</v>
      </c>
      <c r="D60" s="39">
        <v>0</v>
      </c>
      <c r="E60" s="39">
        <v>250.93891842736636</v>
      </c>
      <c r="F60" s="39">
        <v>308.59311000000025</v>
      </c>
      <c r="G60" s="39">
        <v>250.93891842736636</v>
      </c>
    </row>
    <row r="61" spans="1:7" ht="11.25" customHeight="1" x14ac:dyDescent="0.2">
      <c r="A61" s="48" t="s">
        <v>25</v>
      </c>
      <c r="B61" s="39">
        <v>0</v>
      </c>
      <c r="C61" s="39">
        <v>308.59311000000025</v>
      </c>
      <c r="D61" s="39">
        <v>0</v>
      </c>
      <c r="E61" s="39">
        <v>250.93891842736636</v>
      </c>
      <c r="F61" s="39">
        <v>308.59311000000025</v>
      </c>
      <c r="G61" s="39">
        <v>250.93891842736636</v>
      </c>
    </row>
    <row r="62" spans="1:7" ht="11.25" customHeight="1" x14ac:dyDescent="0.2">
      <c r="A62" s="49">
        <v>44440</v>
      </c>
      <c r="B62" s="39">
        <v>0</v>
      </c>
      <c r="C62" s="39">
        <v>6.3924000000000047</v>
      </c>
      <c r="D62" s="39">
        <v>0</v>
      </c>
      <c r="E62" s="39">
        <v>5.1981132765896714</v>
      </c>
      <c r="F62" s="39">
        <v>6.3924000000000047</v>
      </c>
      <c r="G62" s="39">
        <v>5.1981132765896714</v>
      </c>
    </row>
    <row r="63" spans="1:7" ht="11.25" customHeight="1" x14ac:dyDescent="0.2">
      <c r="A63" s="49">
        <v>44470</v>
      </c>
      <c r="B63" s="39">
        <v>0</v>
      </c>
      <c r="C63" s="39">
        <v>5.646620000000004</v>
      </c>
      <c r="D63" s="39">
        <v>0</v>
      </c>
      <c r="E63" s="39">
        <v>4.5916667276542098</v>
      </c>
      <c r="F63" s="39">
        <v>5.646620000000004</v>
      </c>
      <c r="G63" s="39">
        <v>4.5916667276542098</v>
      </c>
    </row>
    <row r="64" spans="1:7" ht="11.25" customHeight="1" x14ac:dyDescent="0.2">
      <c r="A64" s="49">
        <v>44501</v>
      </c>
      <c r="B64" s="39">
        <v>0</v>
      </c>
      <c r="C64" s="39">
        <v>11.453050000000008</v>
      </c>
      <c r="D64" s="39">
        <v>0</v>
      </c>
      <c r="E64" s="39">
        <v>9.3132862872231605</v>
      </c>
      <c r="F64" s="39">
        <v>11.453050000000008</v>
      </c>
      <c r="G64" s="39">
        <v>9.3132862872231605</v>
      </c>
    </row>
    <row r="65" spans="1:7" ht="11.25" customHeight="1" x14ac:dyDescent="0.2">
      <c r="A65" s="49">
        <v>44531</v>
      </c>
      <c r="B65" s="39">
        <v>0</v>
      </c>
      <c r="C65" s="39">
        <v>11.453050000000008</v>
      </c>
      <c r="D65" s="39">
        <v>0</v>
      </c>
      <c r="E65" s="39">
        <v>9.3132862872231605</v>
      </c>
      <c r="F65" s="39">
        <v>11.453050000000008</v>
      </c>
      <c r="G65" s="39">
        <v>9.3132862872231605</v>
      </c>
    </row>
    <row r="66" spans="1:7" ht="11.25" customHeight="1" x14ac:dyDescent="0.2">
      <c r="A66" s="49">
        <v>44562</v>
      </c>
      <c r="B66" s="39">
        <v>0</v>
      </c>
      <c r="C66" s="39">
        <v>15.874460000000012</v>
      </c>
      <c r="D66" s="39">
        <v>0</v>
      </c>
      <c r="E66" s="39">
        <v>12.908647970197682</v>
      </c>
      <c r="F66" s="39">
        <v>15.874460000000012</v>
      </c>
      <c r="G66" s="39">
        <v>12.908647970197682</v>
      </c>
    </row>
    <row r="67" spans="1:7" ht="11.25" customHeight="1" x14ac:dyDescent="0.2">
      <c r="A67" s="49">
        <v>44593</v>
      </c>
      <c r="B67" s="39">
        <v>0</v>
      </c>
      <c r="C67" s="39">
        <v>30.09755000000002</v>
      </c>
      <c r="D67" s="39">
        <v>0</v>
      </c>
      <c r="E67" s="39">
        <v>24.474450010609701</v>
      </c>
      <c r="F67" s="39">
        <v>30.09755000000002</v>
      </c>
      <c r="G67" s="39">
        <v>24.474450010609701</v>
      </c>
    </row>
    <row r="68" spans="1:7" ht="11.25" customHeight="1" x14ac:dyDescent="0.2">
      <c r="A68" s="49">
        <v>44621</v>
      </c>
      <c r="B68" s="39">
        <v>0</v>
      </c>
      <c r="C68" s="39">
        <v>41.337520000000033</v>
      </c>
      <c r="D68" s="39">
        <v>0</v>
      </c>
      <c r="E68" s="39">
        <v>33.614465855279875</v>
      </c>
      <c r="F68" s="39">
        <v>41.337520000000033</v>
      </c>
      <c r="G68" s="39">
        <v>33.614465855279875</v>
      </c>
    </row>
    <row r="69" spans="1:7" ht="11.25" customHeight="1" x14ac:dyDescent="0.2">
      <c r="A69" s="49">
        <v>44652</v>
      </c>
      <c r="B69" s="39">
        <v>0</v>
      </c>
      <c r="C69" s="39">
        <v>35.47782000000003</v>
      </c>
      <c r="D69" s="39">
        <v>0</v>
      </c>
      <c r="E69" s="39">
        <v>28.849528685072677</v>
      </c>
      <c r="F69" s="39">
        <v>35.47782000000003</v>
      </c>
      <c r="G69" s="39">
        <v>28.849528685072677</v>
      </c>
    </row>
    <row r="70" spans="1:7" ht="11.25" customHeight="1" x14ac:dyDescent="0.2">
      <c r="A70" s="49">
        <v>44682</v>
      </c>
      <c r="B70" s="39">
        <v>0</v>
      </c>
      <c r="C70" s="39">
        <v>37.874970000000026</v>
      </c>
      <c r="D70" s="39">
        <v>0</v>
      </c>
      <c r="E70" s="39">
        <v>30.7988211637938</v>
      </c>
      <c r="F70" s="39">
        <v>37.874970000000026</v>
      </c>
      <c r="G70" s="39">
        <v>30.7988211637938</v>
      </c>
    </row>
    <row r="71" spans="1:7" ht="11.25" customHeight="1" x14ac:dyDescent="0.2">
      <c r="A71" s="49">
        <v>44713</v>
      </c>
      <c r="B71" s="39">
        <v>0</v>
      </c>
      <c r="C71" s="39">
        <v>37.075920000000025</v>
      </c>
      <c r="D71" s="39">
        <v>0</v>
      </c>
      <c r="E71" s="39">
        <v>30.14905700422009</v>
      </c>
      <c r="F71" s="39">
        <v>37.075920000000025</v>
      </c>
      <c r="G71" s="39">
        <v>30.14905700422009</v>
      </c>
    </row>
    <row r="72" spans="1:7" ht="11.25" customHeight="1" x14ac:dyDescent="0.2">
      <c r="A72" s="49">
        <v>44743</v>
      </c>
      <c r="B72" s="39">
        <v>0</v>
      </c>
      <c r="C72" s="39">
        <v>37.289000000000023</v>
      </c>
      <c r="D72" s="39">
        <v>0</v>
      </c>
      <c r="E72" s="39">
        <v>30.32232744677308</v>
      </c>
      <c r="F72" s="39">
        <v>37.289000000000023</v>
      </c>
      <c r="G72" s="39">
        <v>30.32232744677308</v>
      </c>
    </row>
    <row r="73" spans="1:7" ht="11.25" customHeight="1" x14ac:dyDescent="0.2">
      <c r="A73" s="49">
        <v>44774</v>
      </c>
      <c r="B73" s="39">
        <v>0</v>
      </c>
      <c r="C73" s="39">
        <v>38.620750000000029</v>
      </c>
      <c r="D73" s="39">
        <v>0</v>
      </c>
      <c r="E73" s="39">
        <v>31.405267712729263</v>
      </c>
      <c r="F73" s="39">
        <v>38.620750000000029</v>
      </c>
      <c r="G73" s="39">
        <v>31.405267712729263</v>
      </c>
    </row>
    <row r="74" spans="1:7" ht="11.25" customHeight="1" x14ac:dyDescent="0.2">
      <c r="A74" s="45" t="s">
        <v>30</v>
      </c>
      <c r="B74" s="39">
        <v>0</v>
      </c>
      <c r="C74" s="39">
        <v>1.1931433618883603E-13</v>
      </c>
      <c r="D74" s="39">
        <v>0</v>
      </c>
      <c r="E74" s="39">
        <v>-5.9657168094418017E-14</v>
      </c>
      <c r="F74" s="39">
        <v>1.1931433618883603E-13</v>
      </c>
      <c r="G74" s="39">
        <v>-5.9657168094418017E-14</v>
      </c>
    </row>
    <row r="75" spans="1:7" ht="11.25" customHeight="1" x14ac:dyDescent="0.2">
      <c r="A75" s="46" t="s">
        <v>25</v>
      </c>
      <c r="B75" s="39">
        <v>0</v>
      </c>
      <c r="C75" s="39">
        <v>1.1931433618883603E-13</v>
      </c>
      <c r="D75" s="39">
        <v>0</v>
      </c>
      <c r="E75" s="39">
        <v>-5.9657168094418017E-14</v>
      </c>
      <c r="F75" s="39">
        <v>1.1931433618883603E-13</v>
      </c>
      <c r="G75" s="39">
        <v>-5.9657168094418017E-14</v>
      </c>
    </row>
    <row r="76" spans="1:7" ht="11.25" customHeight="1" x14ac:dyDescent="0.2">
      <c r="A76" s="47" t="s">
        <v>25</v>
      </c>
      <c r="B76" s="39">
        <v>0</v>
      </c>
      <c r="C76" s="39">
        <v>1.1931433618883603E-13</v>
      </c>
      <c r="D76" s="39">
        <v>0</v>
      </c>
      <c r="E76" s="39">
        <v>-5.9657168094418017E-14</v>
      </c>
      <c r="F76" s="39">
        <v>1.1931433618883603E-13</v>
      </c>
      <c r="G76" s="39">
        <v>-5.9657168094418017E-14</v>
      </c>
    </row>
    <row r="77" spans="1:7" ht="11.25" customHeight="1" x14ac:dyDescent="0.2">
      <c r="A77" s="48" t="s">
        <v>25</v>
      </c>
      <c r="B77" s="39">
        <v>0</v>
      </c>
      <c r="C77" s="39">
        <v>1.1931433618883603E-13</v>
      </c>
      <c r="D77" s="39">
        <v>0</v>
      </c>
      <c r="E77" s="39">
        <v>-5.9657168094418017E-14</v>
      </c>
      <c r="F77" s="39">
        <v>1.1931433618883603E-13</v>
      </c>
      <c r="G77" s="39">
        <v>-5.9657168094418017E-14</v>
      </c>
    </row>
    <row r="78" spans="1:7" ht="11.25" customHeight="1" x14ac:dyDescent="0.2">
      <c r="A78" s="49">
        <v>44440</v>
      </c>
      <c r="B78" s="39">
        <v>0</v>
      </c>
      <c r="C78" s="39">
        <v>3.410605131648481E-16</v>
      </c>
      <c r="D78" s="39">
        <v>0</v>
      </c>
      <c r="E78" s="39">
        <v>-1.7053025658242405E-16</v>
      </c>
      <c r="F78" s="39">
        <v>3.410605131648481E-16</v>
      </c>
      <c r="G78" s="39">
        <v>-1.7053025658242405E-16</v>
      </c>
    </row>
    <row r="79" spans="1:7" ht="11.25" customHeight="1" x14ac:dyDescent="0.2">
      <c r="A79" s="49">
        <v>44531</v>
      </c>
      <c r="B79" s="39">
        <v>0</v>
      </c>
      <c r="C79" s="39">
        <v>7.3896444519050416E-16</v>
      </c>
      <c r="D79" s="39">
        <v>0</v>
      </c>
      <c r="E79" s="39">
        <v>-3.6948222259525208E-16</v>
      </c>
      <c r="F79" s="39">
        <v>7.3896444519050416E-16</v>
      </c>
      <c r="G79" s="39">
        <v>-3.6948222259525208E-16</v>
      </c>
    </row>
    <row r="80" spans="1:7" ht="11.25" customHeight="1" x14ac:dyDescent="0.2">
      <c r="A80" s="49">
        <v>44562</v>
      </c>
      <c r="B80" s="39">
        <v>0</v>
      </c>
      <c r="C80" s="39">
        <v>3.1832314562052489E-15</v>
      </c>
      <c r="D80" s="39">
        <v>0</v>
      </c>
      <c r="E80" s="39">
        <v>-1.5916157281026244E-15</v>
      </c>
      <c r="F80" s="39">
        <v>3.1832314562052489E-15</v>
      </c>
      <c r="G80" s="39">
        <v>-1.5916157281026244E-15</v>
      </c>
    </row>
    <row r="81" spans="1:7" ht="11.25" customHeight="1" x14ac:dyDescent="0.2">
      <c r="A81" s="49">
        <v>44593</v>
      </c>
      <c r="B81" s="39">
        <v>0</v>
      </c>
      <c r="C81" s="39">
        <v>1.4154011296341196E-14</v>
      </c>
      <c r="D81" s="39">
        <v>0</v>
      </c>
      <c r="E81" s="39">
        <v>-7.0770056481705978E-15</v>
      </c>
      <c r="F81" s="39">
        <v>1.4154011296341196E-14</v>
      </c>
      <c r="G81" s="39">
        <v>-7.0770056481705978E-15</v>
      </c>
    </row>
    <row r="82" spans="1:7" ht="11.25" customHeight="1" x14ac:dyDescent="0.2">
      <c r="A82" s="49">
        <v>44621</v>
      </c>
      <c r="B82" s="39">
        <v>0</v>
      </c>
      <c r="C82" s="39">
        <v>1.0118128557223826E-14</v>
      </c>
      <c r="D82" s="39">
        <v>0</v>
      </c>
      <c r="E82" s="39">
        <v>-5.0590642786119131E-15</v>
      </c>
      <c r="F82" s="39">
        <v>1.0118128557223826E-14</v>
      </c>
      <c r="G82" s="39">
        <v>-5.0590642786119131E-15</v>
      </c>
    </row>
    <row r="83" spans="1:7" ht="11.25" customHeight="1" x14ac:dyDescent="0.2">
      <c r="A83" s="49">
        <v>44652</v>
      </c>
      <c r="B83" s="39">
        <v>0</v>
      </c>
      <c r="C83" s="39">
        <v>7.9012352216523148E-15</v>
      </c>
      <c r="D83" s="39">
        <v>0</v>
      </c>
      <c r="E83" s="39">
        <v>-3.9506176108261574E-15</v>
      </c>
      <c r="F83" s="39">
        <v>7.9012352216523148E-15</v>
      </c>
      <c r="G83" s="39">
        <v>-3.9506176108261574E-15</v>
      </c>
    </row>
    <row r="84" spans="1:7" ht="11.25" customHeight="1" x14ac:dyDescent="0.2">
      <c r="A84" s="49">
        <v>44682</v>
      </c>
      <c r="B84" s="39">
        <v>0</v>
      </c>
      <c r="C84" s="39">
        <v>1.148237060988322E-14</v>
      </c>
      <c r="D84" s="39">
        <v>0</v>
      </c>
      <c r="E84" s="39">
        <v>-5.7411853049416099E-15</v>
      </c>
      <c r="F84" s="39">
        <v>1.148237060988322E-14</v>
      </c>
      <c r="G84" s="39">
        <v>-5.7411853049416099E-15</v>
      </c>
    </row>
    <row r="85" spans="1:7" ht="11.25" customHeight="1" x14ac:dyDescent="0.2">
      <c r="A85" s="49">
        <v>44713</v>
      </c>
      <c r="B85" s="39">
        <v>0</v>
      </c>
      <c r="C85" s="39">
        <v>3.5242919693700969E-14</v>
      </c>
      <c r="D85" s="39">
        <v>0</v>
      </c>
      <c r="E85" s="39">
        <v>-1.7621459846850484E-14</v>
      </c>
      <c r="F85" s="39">
        <v>3.5242919693700969E-14</v>
      </c>
      <c r="G85" s="39">
        <v>-1.7621459846850484E-14</v>
      </c>
    </row>
    <row r="86" spans="1:7" ht="11.25" customHeight="1" x14ac:dyDescent="0.2">
      <c r="A86" s="49">
        <v>44743</v>
      </c>
      <c r="B86" s="39">
        <v>0</v>
      </c>
      <c r="C86" s="39">
        <v>1.1937117960769683E-14</v>
      </c>
      <c r="D86" s="39">
        <v>0</v>
      </c>
      <c r="E86" s="39">
        <v>-5.9685589803848413E-15</v>
      </c>
      <c r="F86" s="39">
        <v>1.1937117960769683E-14</v>
      </c>
      <c r="G86" s="39">
        <v>-5.9685589803848413E-15</v>
      </c>
    </row>
    <row r="87" spans="1:7" ht="11.25" customHeight="1" x14ac:dyDescent="0.2">
      <c r="A87" s="49">
        <v>44774</v>
      </c>
      <c r="B87" s="39">
        <v>0</v>
      </c>
      <c r="C87" s="39">
        <v>2.4215296434704214E-14</v>
      </c>
      <c r="D87" s="39">
        <v>0</v>
      </c>
      <c r="E87" s="39">
        <v>-1.2107648217352107E-14</v>
      </c>
      <c r="F87" s="39">
        <v>2.4215296434704214E-14</v>
      </c>
      <c r="G87" s="39">
        <v>-1.2107648217352107E-14</v>
      </c>
    </row>
    <row r="88" spans="1:7" ht="11.25" customHeight="1" x14ac:dyDescent="0.2">
      <c r="A88" s="41" t="s">
        <v>571</v>
      </c>
      <c r="B88" s="39">
        <v>0</v>
      </c>
      <c r="C88" s="39">
        <v>19.335839999999997</v>
      </c>
      <c r="D88" s="39">
        <v>0</v>
      </c>
      <c r="E88" s="39">
        <v>15.888679162849204</v>
      </c>
      <c r="F88" s="39">
        <v>19.335839999999997</v>
      </c>
      <c r="G88" s="39">
        <v>15.888679162849204</v>
      </c>
    </row>
    <row r="89" spans="1:7" ht="11.25" customHeight="1" x14ac:dyDescent="0.2">
      <c r="A89" s="42" t="s">
        <v>39</v>
      </c>
      <c r="B89" s="39">
        <v>0</v>
      </c>
      <c r="C89" s="39">
        <v>19.335839999999997</v>
      </c>
      <c r="D89" s="39">
        <v>0</v>
      </c>
      <c r="E89" s="39">
        <v>15.888679162849204</v>
      </c>
      <c r="F89" s="39">
        <v>19.335839999999997</v>
      </c>
      <c r="G89" s="39">
        <v>15.888679162849204</v>
      </c>
    </row>
    <row r="90" spans="1:7" ht="11.25" customHeight="1" x14ac:dyDescent="0.2">
      <c r="A90" s="43" t="s">
        <v>23</v>
      </c>
      <c r="B90" s="39">
        <v>0</v>
      </c>
      <c r="C90" s="39">
        <v>19.335839999999997</v>
      </c>
      <c r="D90" s="39">
        <v>0</v>
      </c>
      <c r="E90" s="39">
        <v>15.888679162849204</v>
      </c>
      <c r="F90" s="39">
        <v>19.335839999999997</v>
      </c>
      <c r="G90" s="39">
        <v>15.888679162849204</v>
      </c>
    </row>
    <row r="91" spans="1:7" ht="11.25" customHeight="1" x14ac:dyDescent="0.2">
      <c r="A91" s="44" t="s">
        <v>40</v>
      </c>
      <c r="B91" s="39">
        <v>0</v>
      </c>
      <c r="C91" s="39">
        <v>19.335839999999997</v>
      </c>
      <c r="D91" s="39">
        <v>0</v>
      </c>
      <c r="E91" s="39">
        <v>15.888679162849204</v>
      </c>
      <c r="F91" s="39">
        <v>19.335839999999997</v>
      </c>
      <c r="G91" s="39">
        <v>15.888679162849204</v>
      </c>
    </row>
    <row r="92" spans="1:7" ht="11.25" customHeight="1" x14ac:dyDescent="0.2">
      <c r="A92" s="45" t="s">
        <v>48</v>
      </c>
      <c r="B92" s="39">
        <v>0</v>
      </c>
      <c r="C92" s="39">
        <v>19.335839999999997</v>
      </c>
      <c r="D92" s="39">
        <v>0</v>
      </c>
      <c r="E92" s="39">
        <v>15.888679162849204</v>
      </c>
      <c r="F92" s="39">
        <v>19.335839999999997</v>
      </c>
      <c r="G92" s="39">
        <v>15.888679162849204</v>
      </c>
    </row>
    <row r="93" spans="1:7" ht="11.25" customHeight="1" x14ac:dyDescent="0.2">
      <c r="A93" s="46" t="s">
        <v>50</v>
      </c>
      <c r="B93" s="39">
        <v>0</v>
      </c>
      <c r="C93" s="39">
        <v>19.335839999999997</v>
      </c>
      <c r="D93" s="39">
        <v>0</v>
      </c>
      <c r="E93" s="39">
        <v>15.888679162849204</v>
      </c>
      <c r="F93" s="39">
        <v>19.335839999999997</v>
      </c>
      <c r="G93" s="39">
        <v>15.888679162849204</v>
      </c>
    </row>
    <row r="94" spans="1:7" ht="11.25" customHeight="1" x14ac:dyDescent="0.2">
      <c r="A94" s="47" t="s">
        <v>25</v>
      </c>
      <c r="B94" s="39">
        <v>0</v>
      </c>
      <c r="C94" s="39">
        <v>19.335839999999997</v>
      </c>
      <c r="D94" s="39">
        <v>0</v>
      </c>
      <c r="E94" s="39">
        <v>15.888679162849204</v>
      </c>
      <c r="F94" s="39">
        <v>19.335839999999997</v>
      </c>
      <c r="G94" s="39">
        <v>15.888679162849204</v>
      </c>
    </row>
    <row r="95" spans="1:7" ht="11.25" customHeight="1" x14ac:dyDescent="0.2">
      <c r="A95" s="48" t="s">
        <v>25</v>
      </c>
      <c r="B95" s="39">
        <v>0</v>
      </c>
      <c r="C95" s="39">
        <v>19.335839999999997</v>
      </c>
      <c r="D95" s="39">
        <v>0</v>
      </c>
      <c r="E95" s="39">
        <v>15.888679162849204</v>
      </c>
      <c r="F95" s="39">
        <v>19.335839999999997</v>
      </c>
      <c r="G95" s="39">
        <v>15.888679162849204</v>
      </c>
    </row>
    <row r="96" spans="1:7" ht="11.25" customHeight="1" x14ac:dyDescent="0.2">
      <c r="A96" s="49">
        <v>44440</v>
      </c>
      <c r="B96" s="39">
        <v>0</v>
      </c>
      <c r="C96" s="39">
        <v>2.4169799999999997</v>
      </c>
      <c r="D96" s="39">
        <v>0</v>
      </c>
      <c r="E96" s="39">
        <v>1.9860848953561505</v>
      </c>
      <c r="F96" s="39">
        <v>2.4169799999999997</v>
      </c>
      <c r="G96" s="39">
        <v>1.9860848953561505</v>
      </c>
    </row>
    <row r="97" spans="1:7" ht="11.25" customHeight="1" x14ac:dyDescent="0.2">
      <c r="A97" s="49">
        <v>44470</v>
      </c>
      <c r="B97" s="39">
        <v>0</v>
      </c>
      <c r="C97" s="39">
        <v>6.0424499999999988</v>
      </c>
      <c r="D97" s="39">
        <v>0</v>
      </c>
      <c r="E97" s="39">
        <v>4.9652122383903761</v>
      </c>
      <c r="F97" s="39">
        <v>6.0424499999999988</v>
      </c>
      <c r="G97" s="39">
        <v>4.9652122383903761</v>
      </c>
    </row>
    <row r="98" spans="1:7" ht="11.25" customHeight="1" x14ac:dyDescent="0.2">
      <c r="A98" s="49">
        <v>44501</v>
      </c>
      <c r="B98" s="39">
        <v>0</v>
      </c>
      <c r="C98" s="39">
        <v>6.0424499999999988</v>
      </c>
      <c r="D98" s="39">
        <v>0</v>
      </c>
      <c r="E98" s="39">
        <v>4.9652122383903761</v>
      </c>
      <c r="F98" s="39">
        <v>6.0424499999999988</v>
      </c>
      <c r="G98" s="39">
        <v>4.9652122383903761</v>
      </c>
    </row>
    <row r="99" spans="1:7" ht="11.25" customHeight="1" x14ac:dyDescent="0.2">
      <c r="A99" s="49">
        <v>44593</v>
      </c>
      <c r="B99" s="39">
        <v>0</v>
      </c>
      <c r="C99" s="39">
        <v>2.0141499999999999</v>
      </c>
      <c r="D99" s="39">
        <v>0</v>
      </c>
      <c r="E99" s="39">
        <v>1.6550707461301255</v>
      </c>
      <c r="F99" s="39">
        <v>2.0141499999999999</v>
      </c>
      <c r="G99" s="39">
        <v>1.6550707461301255</v>
      </c>
    </row>
    <row r="100" spans="1:7" ht="11.25" customHeight="1" x14ac:dyDescent="0.2">
      <c r="A100" s="49">
        <v>44621</v>
      </c>
      <c r="B100" s="39">
        <v>0</v>
      </c>
      <c r="C100" s="39">
        <v>1.2084899999999998</v>
      </c>
      <c r="D100" s="39">
        <v>0</v>
      </c>
      <c r="E100" s="39">
        <v>0.99304244767807526</v>
      </c>
      <c r="F100" s="39">
        <v>1.2084899999999998</v>
      </c>
      <c r="G100" s="39">
        <v>0.99304244767807526</v>
      </c>
    </row>
    <row r="101" spans="1:7" ht="11.25" customHeight="1" x14ac:dyDescent="0.2">
      <c r="A101" s="49">
        <v>44652</v>
      </c>
      <c r="B101" s="39">
        <v>0</v>
      </c>
      <c r="C101" s="39">
        <v>1.6113199999999999</v>
      </c>
      <c r="D101" s="39">
        <v>0</v>
      </c>
      <c r="E101" s="39">
        <v>1.3240565969041005</v>
      </c>
      <c r="F101" s="39">
        <v>1.6113199999999999</v>
      </c>
      <c r="G101" s="39">
        <v>1.3240565969041005</v>
      </c>
    </row>
    <row r="102" spans="1:7" ht="11.25" customHeight="1" x14ac:dyDescent="0.2">
      <c r="A102" s="41" t="s">
        <v>570</v>
      </c>
      <c r="B102" s="39">
        <v>0</v>
      </c>
      <c r="C102" s="39">
        <v>422523.79509999999</v>
      </c>
      <c r="D102" s="39">
        <v>0</v>
      </c>
      <c r="E102" s="39">
        <v>182472.28181136883</v>
      </c>
      <c r="F102" s="39">
        <v>422523.79510000005</v>
      </c>
      <c r="G102" s="39">
        <v>182472.2818113688</v>
      </c>
    </row>
    <row r="103" spans="1:7" ht="11.25" customHeight="1" x14ac:dyDescent="0.2">
      <c r="A103" s="42" t="s">
        <v>39</v>
      </c>
      <c r="B103" s="39">
        <v>0</v>
      </c>
      <c r="C103" s="39">
        <v>422523.79509999999</v>
      </c>
      <c r="D103" s="39">
        <v>0</v>
      </c>
      <c r="E103" s="39">
        <v>182472.28181136883</v>
      </c>
      <c r="F103" s="39">
        <v>422523.79510000005</v>
      </c>
      <c r="G103" s="39">
        <v>182472.2818113688</v>
      </c>
    </row>
    <row r="104" spans="1:7" ht="11.25" customHeight="1" x14ac:dyDescent="0.2">
      <c r="A104" s="43" t="s">
        <v>23</v>
      </c>
      <c r="B104" s="39">
        <v>0</v>
      </c>
      <c r="C104" s="39">
        <v>422523.79509999999</v>
      </c>
      <c r="D104" s="39">
        <v>0</v>
      </c>
      <c r="E104" s="39">
        <v>182472.28181136883</v>
      </c>
      <c r="F104" s="39">
        <v>422523.79510000005</v>
      </c>
      <c r="G104" s="39">
        <v>182472.2818113688</v>
      </c>
    </row>
    <row r="105" spans="1:7" ht="11.25" customHeight="1" x14ac:dyDescent="0.2">
      <c r="A105" s="44" t="s">
        <v>40</v>
      </c>
      <c r="B105" s="39">
        <v>0</v>
      </c>
      <c r="C105" s="39">
        <v>422523.79509999999</v>
      </c>
      <c r="D105" s="39">
        <v>0</v>
      </c>
      <c r="E105" s="39">
        <v>182472.28181136883</v>
      </c>
      <c r="F105" s="39">
        <v>422523.79510000005</v>
      </c>
      <c r="G105" s="39">
        <v>182472.2818113688</v>
      </c>
    </row>
    <row r="106" spans="1:7" ht="11.25" customHeight="1" x14ac:dyDescent="0.2">
      <c r="A106" s="45" t="s">
        <v>48</v>
      </c>
      <c r="B106" s="39">
        <v>0</v>
      </c>
      <c r="C106" s="39">
        <v>64.192699999999988</v>
      </c>
      <c r="D106" s="39">
        <v>0</v>
      </c>
      <c r="E106" s="39">
        <v>27.72243499767962</v>
      </c>
      <c r="F106" s="39">
        <v>64.192699999999988</v>
      </c>
      <c r="G106" s="39">
        <v>27.72243499767962</v>
      </c>
    </row>
    <row r="107" spans="1:7" ht="11.25" customHeight="1" x14ac:dyDescent="0.2">
      <c r="A107" s="46" t="s">
        <v>49</v>
      </c>
      <c r="B107" s="39">
        <v>0</v>
      </c>
      <c r="C107" s="39">
        <v>64.192699999999988</v>
      </c>
      <c r="D107" s="39">
        <v>0</v>
      </c>
      <c r="E107" s="39">
        <v>27.72243499767962</v>
      </c>
      <c r="F107" s="39">
        <v>64.192699999999988</v>
      </c>
      <c r="G107" s="39">
        <v>27.72243499767962</v>
      </c>
    </row>
    <row r="108" spans="1:7" ht="11.25" customHeight="1" x14ac:dyDescent="0.2">
      <c r="A108" s="47" t="s">
        <v>25</v>
      </c>
      <c r="B108" s="39">
        <v>0</v>
      </c>
      <c r="C108" s="39">
        <v>64.192699999999988</v>
      </c>
      <c r="D108" s="39">
        <v>0</v>
      </c>
      <c r="E108" s="39">
        <v>27.72243499767962</v>
      </c>
      <c r="F108" s="39">
        <v>64.192699999999988</v>
      </c>
      <c r="G108" s="39">
        <v>27.72243499767962</v>
      </c>
    </row>
    <row r="109" spans="1:7" ht="11.25" customHeight="1" x14ac:dyDescent="0.2">
      <c r="A109" s="48" t="s">
        <v>25</v>
      </c>
      <c r="B109" s="39">
        <v>0</v>
      </c>
      <c r="C109" s="39">
        <v>64.192699999999988</v>
      </c>
      <c r="D109" s="39">
        <v>0</v>
      </c>
      <c r="E109" s="39">
        <v>27.72243499767962</v>
      </c>
      <c r="F109" s="39">
        <v>64.192699999999988</v>
      </c>
      <c r="G109" s="39">
        <v>27.72243499767962</v>
      </c>
    </row>
    <row r="110" spans="1:7" ht="11.25" customHeight="1" x14ac:dyDescent="0.2">
      <c r="A110" s="49">
        <v>44440</v>
      </c>
      <c r="B110" s="39">
        <v>0</v>
      </c>
      <c r="C110" s="39">
        <v>6.9277999999999986</v>
      </c>
      <c r="D110" s="39">
        <v>0</v>
      </c>
      <c r="E110" s="39">
        <v>2.9918586564659986</v>
      </c>
      <c r="F110" s="39">
        <v>6.9277999999999986</v>
      </c>
      <c r="G110" s="39">
        <v>2.9918586564659986</v>
      </c>
    </row>
    <row r="111" spans="1:7" ht="11.25" customHeight="1" x14ac:dyDescent="0.2">
      <c r="A111" s="49">
        <v>44470</v>
      </c>
      <c r="B111" s="39">
        <v>0</v>
      </c>
      <c r="C111" s="39">
        <v>7.6647999999999987</v>
      </c>
      <c r="D111" s="39">
        <v>0</v>
      </c>
      <c r="E111" s="39">
        <v>3.3101414922602537</v>
      </c>
      <c r="F111" s="39">
        <v>7.6647999999999987</v>
      </c>
      <c r="G111" s="39">
        <v>3.3101414922602537</v>
      </c>
    </row>
    <row r="112" spans="1:7" ht="11.25" customHeight="1" x14ac:dyDescent="0.2">
      <c r="A112" s="49">
        <v>44501</v>
      </c>
      <c r="B112" s="39">
        <v>0</v>
      </c>
      <c r="C112" s="39">
        <v>6.2644999999999991</v>
      </c>
      <c r="D112" s="39">
        <v>0</v>
      </c>
      <c r="E112" s="39">
        <v>2.7054041042511692</v>
      </c>
      <c r="F112" s="39">
        <v>6.2644999999999991</v>
      </c>
      <c r="G112" s="39">
        <v>2.7054041042511692</v>
      </c>
    </row>
    <row r="113" spans="1:7" ht="11.25" customHeight="1" x14ac:dyDescent="0.2">
      <c r="A113" s="49">
        <v>44531</v>
      </c>
      <c r="B113" s="39">
        <v>0</v>
      </c>
      <c r="C113" s="39">
        <v>7.3699999999999992</v>
      </c>
      <c r="D113" s="39">
        <v>0</v>
      </c>
      <c r="E113" s="39">
        <v>3.1828283579425518</v>
      </c>
      <c r="F113" s="39">
        <v>7.3699999999999992</v>
      </c>
      <c r="G113" s="39">
        <v>3.1828283579425518</v>
      </c>
    </row>
    <row r="114" spans="1:7" ht="11.25" customHeight="1" x14ac:dyDescent="0.2">
      <c r="A114" s="49">
        <v>44562</v>
      </c>
      <c r="B114" s="39">
        <v>0</v>
      </c>
      <c r="C114" s="39">
        <v>7.3699999999999992</v>
      </c>
      <c r="D114" s="39">
        <v>0</v>
      </c>
      <c r="E114" s="39">
        <v>3.1828283579425518</v>
      </c>
      <c r="F114" s="39">
        <v>7.3699999999999992</v>
      </c>
      <c r="G114" s="39">
        <v>3.1828283579425518</v>
      </c>
    </row>
    <row r="115" spans="1:7" ht="11.25" customHeight="1" x14ac:dyDescent="0.2">
      <c r="A115" s="49">
        <v>44593</v>
      </c>
      <c r="B115" s="39">
        <v>0</v>
      </c>
      <c r="C115" s="39">
        <v>7.0014999999999992</v>
      </c>
      <c r="D115" s="39">
        <v>0</v>
      </c>
      <c r="E115" s="39">
        <v>3.0236869400454243</v>
      </c>
      <c r="F115" s="39">
        <v>7.0014999999999992</v>
      </c>
      <c r="G115" s="39">
        <v>3.0236869400454243</v>
      </c>
    </row>
    <row r="116" spans="1:7" ht="11.25" customHeight="1" x14ac:dyDescent="0.2">
      <c r="A116" s="49">
        <v>44621</v>
      </c>
      <c r="B116" s="39">
        <v>0</v>
      </c>
      <c r="C116" s="39">
        <v>7.1488999999999994</v>
      </c>
      <c r="D116" s="39">
        <v>0</v>
      </c>
      <c r="E116" s="39">
        <v>3.0873435072042752</v>
      </c>
      <c r="F116" s="39">
        <v>7.1488999999999994</v>
      </c>
      <c r="G116" s="39">
        <v>3.0873435072042752</v>
      </c>
    </row>
    <row r="117" spans="1:7" ht="11.25" customHeight="1" x14ac:dyDescent="0.2">
      <c r="A117" s="49">
        <v>44652</v>
      </c>
      <c r="B117" s="39">
        <v>0</v>
      </c>
      <c r="C117" s="39">
        <v>7.0751999999999988</v>
      </c>
      <c r="D117" s="39">
        <v>0</v>
      </c>
      <c r="E117" s="39">
        <v>3.0555152236248495</v>
      </c>
      <c r="F117" s="39">
        <v>7.0751999999999988</v>
      </c>
      <c r="G117" s="39">
        <v>3.0555152236248495</v>
      </c>
    </row>
    <row r="118" spans="1:7" ht="11.25" customHeight="1" x14ac:dyDescent="0.2">
      <c r="A118" s="49">
        <v>44682</v>
      </c>
      <c r="B118" s="39">
        <v>0</v>
      </c>
      <c r="C118" s="39">
        <v>7.3699999999999992</v>
      </c>
      <c r="D118" s="39">
        <v>0</v>
      </c>
      <c r="E118" s="39">
        <v>3.1828283579425518</v>
      </c>
      <c r="F118" s="39">
        <v>7.3699999999999992</v>
      </c>
      <c r="G118" s="39">
        <v>3.1828283579425518</v>
      </c>
    </row>
    <row r="119" spans="1:7" ht="11.25" customHeight="1" x14ac:dyDescent="0.2">
      <c r="A119" s="45" t="s">
        <v>25</v>
      </c>
      <c r="B119" s="39">
        <v>0</v>
      </c>
      <c r="C119" s="39">
        <v>422459.60239999997</v>
      </c>
      <c r="D119" s="39">
        <v>0</v>
      </c>
      <c r="E119" s="39">
        <v>182444.55937637115</v>
      </c>
      <c r="F119" s="39">
        <v>422459.60240000003</v>
      </c>
      <c r="G119" s="39">
        <v>182444.55937637112</v>
      </c>
    </row>
    <row r="120" spans="1:7" ht="11.25" customHeight="1" x14ac:dyDescent="0.2">
      <c r="A120" s="46" t="s">
        <v>25</v>
      </c>
      <c r="B120" s="39">
        <v>0</v>
      </c>
      <c r="C120" s="39">
        <v>422459.60239999997</v>
      </c>
      <c r="D120" s="39">
        <v>0</v>
      </c>
      <c r="E120" s="39">
        <v>182444.55937637115</v>
      </c>
      <c r="F120" s="39">
        <v>422459.60240000003</v>
      </c>
      <c r="G120" s="39">
        <v>182444.55937637112</v>
      </c>
    </row>
    <row r="121" spans="1:7" ht="11.25" customHeight="1" x14ac:dyDescent="0.2">
      <c r="A121" s="47" t="s">
        <v>25</v>
      </c>
      <c r="B121" s="39">
        <v>0</v>
      </c>
      <c r="C121" s="39">
        <v>422459.60239999997</v>
      </c>
      <c r="D121" s="39">
        <v>0</v>
      </c>
      <c r="E121" s="39">
        <v>182444.55937637115</v>
      </c>
      <c r="F121" s="39">
        <v>422459.60240000003</v>
      </c>
      <c r="G121" s="39">
        <v>182444.55937637112</v>
      </c>
    </row>
    <row r="122" spans="1:7" ht="11.25" customHeight="1" x14ac:dyDescent="0.2">
      <c r="A122" s="48" t="s">
        <v>25</v>
      </c>
      <c r="B122" s="39">
        <v>0</v>
      </c>
      <c r="C122" s="39">
        <v>422459.60239999997</v>
      </c>
      <c r="D122" s="39">
        <v>0</v>
      </c>
      <c r="E122" s="39">
        <v>182444.55937637115</v>
      </c>
      <c r="F122" s="39">
        <v>422459.60240000003</v>
      </c>
      <c r="G122" s="39">
        <v>182444.55937637112</v>
      </c>
    </row>
    <row r="123" spans="1:7" ht="11.25" customHeight="1" x14ac:dyDescent="0.2">
      <c r="A123" s="49">
        <v>44440</v>
      </c>
      <c r="B123" s="39">
        <v>0</v>
      </c>
      <c r="C123" s="39">
        <v>33335.099599999994</v>
      </c>
      <c r="D123" s="39">
        <v>0</v>
      </c>
      <c r="E123" s="39">
        <v>14396.187289242796</v>
      </c>
      <c r="F123" s="39">
        <v>33335.099599999994</v>
      </c>
      <c r="G123" s="39">
        <v>14396.187289242796</v>
      </c>
    </row>
    <row r="124" spans="1:7" ht="11.25" customHeight="1" x14ac:dyDescent="0.2">
      <c r="A124" s="49">
        <v>44470</v>
      </c>
      <c r="B124" s="39">
        <v>0</v>
      </c>
      <c r="C124" s="39">
        <v>33990.071499999991</v>
      </c>
      <c r="D124" s="39">
        <v>0</v>
      </c>
      <c r="E124" s="39">
        <v>14679.04524541315</v>
      </c>
      <c r="F124" s="39">
        <v>33990.071499999991</v>
      </c>
      <c r="G124" s="39">
        <v>14679.04524541315</v>
      </c>
    </row>
    <row r="125" spans="1:7" ht="11.25" customHeight="1" x14ac:dyDescent="0.2">
      <c r="A125" s="49">
        <v>44501</v>
      </c>
      <c r="B125" s="39">
        <v>0</v>
      </c>
      <c r="C125" s="39">
        <v>40877.115400000002</v>
      </c>
      <c r="D125" s="39">
        <v>0</v>
      </c>
      <c r="E125" s="39">
        <v>17653.302861059728</v>
      </c>
      <c r="F125" s="39">
        <v>40877.115400000002</v>
      </c>
      <c r="G125" s="39">
        <v>17653.302861059728</v>
      </c>
    </row>
    <row r="126" spans="1:7" ht="11.25" customHeight="1" x14ac:dyDescent="0.2">
      <c r="A126" s="49">
        <v>44531</v>
      </c>
      <c r="B126" s="39">
        <v>0</v>
      </c>
      <c r="C126" s="39">
        <v>36441.775699999998</v>
      </c>
      <c r="D126" s="39">
        <v>0</v>
      </c>
      <c r="E126" s="39">
        <v>15737.84492696632</v>
      </c>
      <c r="F126" s="39">
        <v>36441.775699999998</v>
      </c>
      <c r="G126" s="39">
        <v>15737.84492696632</v>
      </c>
    </row>
    <row r="127" spans="1:7" ht="11.25" customHeight="1" x14ac:dyDescent="0.2">
      <c r="A127" s="49">
        <v>44562</v>
      </c>
      <c r="B127" s="39">
        <v>0</v>
      </c>
      <c r="C127" s="39">
        <v>42105.104799999994</v>
      </c>
      <c r="D127" s="39">
        <v>0</v>
      </c>
      <c r="E127" s="39">
        <v>18183.625722060115</v>
      </c>
      <c r="F127" s="39">
        <v>42105.104799999994</v>
      </c>
      <c r="G127" s="39">
        <v>18183.625722060115</v>
      </c>
    </row>
    <row r="128" spans="1:7" ht="11.25" customHeight="1" x14ac:dyDescent="0.2">
      <c r="A128" s="49">
        <v>44593</v>
      </c>
      <c r="B128" s="39">
        <v>0</v>
      </c>
      <c r="C128" s="39">
        <v>34867.396299999993</v>
      </c>
      <c r="D128" s="39">
        <v>0</v>
      </c>
      <c r="E128" s="39">
        <v>15057.929133142634</v>
      </c>
      <c r="F128" s="39">
        <v>34867.396299999993</v>
      </c>
      <c r="G128" s="39">
        <v>15057.929133142634</v>
      </c>
    </row>
    <row r="129" spans="1:7" ht="11.25" customHeight="1" x14ac:dyDescent="0.2">
      <c r="A129" s="49">
        <v>44621</v>
      </c>
      <c r="B129" s="39">
        <v>0</v>
      </c>
      <c r="C129" s="39">
        <v>35447.857499999998</v>
      </c>
      <c r="D129" s="39">
        <v>0</v>
      </c>
      <c r="E129" s="39">
        <v>15308.608694614188</v>
      </c>
      <c r="F129" s="39">
        <v>35447.857499999998</v>
      </c>
      <c r="G129" s="39">
        <v>15308.608694614188</v>
      </c>
    </row>
    <row r="130" spans="1:7" ht="11.25" customHeight="1" x14ac:dyDescent="0.2">
      <c r="A130" s="49">
        <v>44652</v>
      </c>
      <c r="B130" s="39">
        <v>0</v>
      </c>
      <c r="C130" s="39">
        <v>32667.819799999997</v>
      </c>
      <c r="D130" s="39">
        <v>0</v>
      </c>
      <c r="E130" s="39">
        <v>14108.014009714678</v>
      </c>
      <c r="F130" s="39">
        <v>32667.819799999997</v>
      </c>
      <c r="G130" s="39">
        <v>14108.014009714678</v>
      </c>
    </row>
    <row r="131" spans="1:7" ht="11.25" customHeight="1" x14ac:dyDescent="0.2">
      <c r="A131" s="49">
        <v>44682</v>
      </c>
      <c r="B131" s="39">
        <v>0</v>
      </c>
      <c r="C131" s="39">
        <v>33492.596499999992</v>
      </c>
      <c r="D131" s="39">
        <v>0</v>
      </c>
      <c r="E131" s="39">
        <v>14464.204331252029</v>
      </c>
      <c r="F131" s="39">
        <v>33492.596499999992</v>
      </c>
      <c r="G131" s="39">
        <v>14464.204331252029</v>
      </c>
    </row>
    <row r="132" spans="1:7" ht="11.25" customHeight="1" x14ac:dyDescent="0.2">
      <c r="A132" s="49">
        <v>44713</v>
      </c>
      <c r="B132" s="39">
        <v>0</v>
      </c>
      <c r="C132" s="39">
        <v>32195.550199999994</v>
      </c>
      <c r="D132" s="39">
        <v>0</v>
      </c>
      <c r="E132" s="39">
        <v>13904.058368537719</v>
      </c>
      <c r="F132" s="39">
        <v>32195.550199999994</v>
      </c>
      <c r="G132" s="39">
        <v>13904.058368537719</v>
      </c>
    </row>
    <row r="133" spans="1:7" ht="11.25" customHeight="1" x14ac:dyDescent="0.2">
      <c r="A133" s="49">
        <v>44743</v>
      </c>
      <c r="B133" s="39">
        <v>0</v>
      </c>
      <c r="C133" s="39">
        <v>32828.485799999995</v>
      </c>
      <c r="D133" s="39">
        <v>0</v>
      </c>
      <c r="E133" s="39">
        <v>14177.399667917825</v>
      </c>
      <c r="F133" s="39">
        <v>32828.485799999995</v>
      </c>
      <c r="G133" s="39">
        <v>14177.399667917825</v>
      </c>
    </row>
    <row r="134" spans="1:7" ht="11.25" customHeight="1" x14ac:dyDescent="0.2">
      <c r="A134" s="49">
        <v>44774</v>
      </c>
      <c r="B134" s="39">
        <v>0</v>
      </c>
      <c r="C134" s="39">
        <v>34210.729299999992</v>
      </c>
      <c r="D134" s="39">
        <v>0</v>
      </c>
      <c r="E134" s="39">
        <v>14774.339126449951</v>
      </c>
      <c r="F134" s="39">
        <v>34210.729299999992</v>
      </c>
      <c r="G134" s="39">
        <v>14774.339126449951</v>
      </c>
    </row>
    <row r="135" spans="1:7" ht="11.25" customHeight="1" x14ac:dyDescent="0.2">
      <c r="A135" s="41" t="s">
        <v>579</v>
      </c>
      <c r="B135" s="39">
        <v>0</v>
      </c>
      <c r="C135" s="39">
        <v>0</v>
      </c>
      <c r="D135" s="39">
        <v>0</v>
      </c>
      <c r="E135" s="39">
        <v>0</v>
      </c>
      <c r="F135" s="39">
        <v>0</v>
      </c>
      <c r="G135" s="39">
        <v>0</v>
      </c>
    </row>
    <row r="136" spans="1:7" ht="11.25" customHeight="1" x14ac:dyDescent="0.2">
      <c r="A136" s="42" t="s">
        <v>22</v>
      </c>
      <c r="B136" s="39">
        <v>0</v>
      </c>
      <c r="C136" s="39">
        <v>0</v>
      </c>
      <c r="D136" s="39">
        <v>0</v>
      </c>
      <c r="E136" s="39">
        <v>0</v>
      </c>
      <c r="F136" s="39">
        <v>0</v>
      </c>
      <c r="G136" s="39">
        <v>0</v>
      </c>
    </row>
    <row r="137" spans="1:7" ht="11.25" customHeight="1" x14ac:dyDescent="0.2">
      <c r="A137" s="43" t="s">
        <v>23</v>
      </c>
      <c r="B137" s="39">
        <v>0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</row>
    <row r="138" spans="1:7" ht="11.25" customHeight="1" x14ac:dyDescent="0.2">
      <c r="A138" s="44" t="s">
        <v>24</v>
      </c>
      <c r="B138" s="39">
        <v>0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</row>
    <row r="139" spans="1:7" ht="11.25" customHeight="1" x14ac:dyDescent="0.2">
      <c r="A139" s="45" t="s">
        <v>24</v>
      </c>
      <c r="B139" s="39">
        <v>0</v>
      </c>
      <c r="C139" s="39">
        <v>0</v>
      </c>
      <c r="D139" s="39">
        <v>0</v>
      </c>
      <c r="E139" s="39">
        <v>0</v>
      </c>
      <c r="F139" s="39">
        <v>0</v>
      </c>
      <c r="G139" s="39">
        <v>0</v>
      </c>
    </row>
    <row r="140" spans="1:7" ht="11.25" customHeight="1" x14ac:dyDescent="0.2">
      <c r="A140" s="46" t="s">
        <v>25</v>
      </c>
      <c r="B140" s="39">
        <v>0</v>
      </c>
      <c r="C140" s="39">
        <v>0</v>
      </c>
      <c r="D140" s="39">
        <v>0</v>
      </c>
      <c r="E140" s="39">
        <v>0</v>
      </c>
      <c r="F140" s="39">
        <v>0</v>
      </c>
      <c r="G140" s="39">
        <v>0</v>
      </c>
    </row>
    <row r="141" spans="1:7" ht="11.25" customHeight="1" x14ac:dyDescent="0.2">
      <c r="A141" s="47" t="s">
        <v>25</v>
      </c>
      <c r="B141" s="39">
        <v>0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</row>
    <row r="142" spans="1:7" ht="11.25" customHeight="1" x14ac:dyDescent="0.2">
      <c r="A142" s="48" t="s">
        <v>25</v>
      </c>
      <c r="B142" s="39">
        <v>0</v>
      </c>
      <c r="C142" s="39">
        <v>0</v>
      </c>
      <c r="D142" s="39">
        <v>0</v>
      </c>
      <c r="E142" s="39">
        <v>0</v>
      </c>
      <c r="F142" s="39">
        <v>0</v>
      </c>
      <c r="G142" s="39">
        <v>0</v>
      </c>
    </row>
    <row r="143" spans="1:7" ht="11.25" customHeight="1" x14ac:dyDescent="0.2">
      <c r="A143" s="49">
        <v>44440</v>
      </c>
      <c r="B143" s="39">
        <v>0</v>
      </c>
      <c r="C143" s="39">
        <v>0</v>
      </c>
      <c r="D143" s="39">
        <v>0</v>
      </c>
      <c r="E143" s="39">
        <v>0</v>
      </c>
      <c r="F143" s="39">
        <v>0</v>
      </c>
      <c r="G143" s="3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D1B8-4D7E-4F57-ADE2-7C3896F47A1E}">
  <dimension ref="A1:H15"/>
  <sheetViews>
    <sheetView showGridLines="0" workbookViewId="0">
      <selection activeCell="H1" sqref="H1"/>
    </sheetView>
  </sheetViews>
  <sheetFormatPr defaultRowHeight="11.25" customHeight="1" x14ac:dyDescent="0.3"/>
  <cols>
    <col min="1" max="1" width="11.5546875" style="8" bestFit="1" customWidth="1"/>
    <col min="2" max="2" width="15.21875" style="8" bestFit="1" customWidth="1"/>
    <col min="3" max="3" width="4.33203125" style="8" bestFit="1" customWidth="1"/>
    <col min="4" max="4" width="6.109375" style="8" bestFit="1" customWidth="1"/>
    <col min="5" max="5" width="8.109375" style="8" bestFit="1" customWidth="1"/>
    <col min="6" max="6" width="8.88671875" style="8"/>
    <col min="7" max="7" width="17.33203125" style="8" bestFit="1" customWidth="1"/>
    <col min="8" max="8" width="2" style="8" bestFit="1" customWidth="1"/>
    <col min="9" max="16384" width="8.88671875" style="8"/>
  </cols>
  <sheetData>
    <row r="1" spans="1:8" s="7" customFormat="1" ht="11.25" customHeight="1" x14ac:dyDescent="0.3">
      <c r="A1" s="7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G1" s="7" t="s">
        <v>57</v>
      </c>
      <c r="H1" s="7">
        <f>COUNTA(A:A)</f>
        <v>15</v>
      </c>
    </row>
    <row r="2" spans="1:8" ht="11.25" customHeight="1" x14ac:dyDescent="0.3">
      <c r="A2" s="8" t="s">
        <v>268</v>
      </c>
      <c r="B2" s="8" t="s">
        <v>269</v>
      </c>
      <c r="C2" s="8" t="s">
        <v>270</v>
      </c>
      <c r="D2" s="8">
        <v>38</v>
      </c>
      <c r="E2" s="8" t="s">
        <v>271</v>
      </c>
    </row>
    <row r="3" spans="1:8" ht="11.25" customHeight="1" x14ac:dyDescent="0.3">
      <c r="A3" s="8" t="s">
        <v>268</v>
      </c>
      <c r="B3" s="8" t="s">
        <v>269</v>
      </c>
      <c r="C3" s="8" t="s">
        <v>270</v>
      </c>
      <c r="D3" s="8">
        <v>39</v>
      </c>
      <c r="E3" s="8" t="s">
        <v>271</v>
      </c>
    </row>
    <row r="4" spans="1:8" ht="11.25" customHeight="1" x14ac:dyDescent="0.3">
      <c r="A4" s="8" t="s">
        <v>268</v>
      </c>
      <c r="B4" s="8" t="s">
        <v>269</v>
      </c>
      <c r="C4" s="8" t="s">
        <v>270</v>
      </c>
      <c r="D4" s="8">
        <v>40</v>
      </c>
      <c r="E4" s="8" t="s">
        <v>271</v>
      </c>
    </row>
    <row r="5" spans="1:8" ht="11.25" customHeight="1" x14ac:dyDescent="0.3">
      <c r="A5" s="8" t="s">
        <v>268</v>
      </c>
      <c r="B5" s="8" t="s">
        <v>269</v>
      </c>
      <c r="C5" s="8" t="s">
        <v>270</v>
      </c>
      <c r="D5" s="8">
        <v>41</v>
      </c>
      <c r="E5" s="8" t="s">
        <v>271</v>
      </c>
    </row>
    <row r="6" spans="1:8" ht="11.25" customHeight="1" x14ac:dyDescent="0.3">
      <c r="A6" s="8" t="s">
        <v>268</v>
      </c>
      <c r="B6" s="8" t="s">
        <v>269</v>
      </c>
      <c r="C6" s="8" t="s">
        <v>270</v>
      </c>
      <c r="D6" s="8">
        <v>42</v>
      </c>
      <c r="E6" s="8" t="s">
        <v>271</v>
      </c>
    </row>
    <row r="7" spans="1:8" ht="11.25" customHeight="1" x14ac:dyDescent="0.3">
      <c r="A7" s="8" t="s">
        <v>268</v>
      </c>
      <c r="B7" s="8" t="s">
        <v>269</v>
      </c>
      <c r="C7" s="8" t="s">
        <v>270</v>
      </c>
      <c r="D7" s="8">
        <v>43</v>
      </c>
      <c r="E7" s="8" t="s">
        <v>271</v>
      </c>
    </row>
    <row r="8" spans="1:8" ht="11.25" customHeight="1" x14ac:dyDescent="0.3">
      <c r="A8" s="8" t="s">
        <v>268</v>
      </c>
      <c r="B8" s="8" t="s">
        <v>269</v>
      </c>
      <c r="C8" s="8" t="s">
        <v>270</v>
      </c>
      <c r="D8" s="8">
        <v>44</v>
      </c>
      <c r="E8" s="8" t="s">
        <v>271</v>
      </c>
    </row>
    <row r="9" spans="1:8" ht="11.25" customHeight="1" x14ac:dyDescent="0.3">
      <c r="A9" s="8" t="s">
        <v>268</v>
      </c>
      <c r="B9" s="8" t="s">
        <v>269</v>
      </c>
      <c r="C9" s="8" t="s">
        <v>270</v>
      </c>
      <c r="D9" s="8">
        <v>45</v>
      </c>
      <c r="E9" s="8" t="s">
        <v>271</v>
      </c>
    </row>
    <row r="10" spans="1:8" ht="11.25" customHeight="1" x14ac:dyDescent="0.3">
      <c r="A10" s="8" t="s">
        <v>268</v>
      </c>
      <c r="B10" s="8" t="s">
        <v>269</v>
      </c>
      <c r="C10" s="8" t="s">
        <v>270</v>
      </c>
      <c r="D10" s="8">
        <v>46</v>
      </c>
      <c r="E10" s="8" t="s">
        <v>271</v>
      </c>
    </row>
    <row r="11" spans="1:8" ht="11.25" customHeight="1" x14ac:dyDescent="0.3">
      <c r="A11" s="8" t="s">
        <v>268</v>
      </c>
      <c r="B11" s="8" t="s">
        <v>269</v>
      </c>
      <c r="C11" s="8" t="s">
        <v>270</v>
      </c>
      <c r="D11" s="8">
        <v>47</v>
      </c>
      <c r="E11" s="8" t="s">
        <v>271</v>
      </c>
    </row>
    <row r="12" spans="1:8" ht="11.25" customHeight="1" x14ac:dyDescent="0.3">
      <c r="A12" s="8" t="s">
        <v>268</v>
      </c>
      <c r="B12" s="8" t="s">
        <v>269</v>
      </c>
      <c r="C12" s="8" t="s">
        <v>270</v>
      </c>
      <c r="D12" s="8">
        <v>48</v>
      </c>
      <c r="E12" s="8" t="s">
        <v>271</v>
      </c>
    </row>
    <row r="13" spans="1:8" ht="11.25" customHeight="1" x14ac:dyDescent="0.3">
      <c r="A13" s="8" t="s">
        <v>268</v>
      </c>
      <c r="B13" s="8" t="s">
        <v>269</v>
      </c>
      <c r="C13" s="8" t="s">
        <v>270</v>
      </c>
      <c r="D13" s="8">
        <v>49</v>
      </c>
      <c r="E13" s="8" t="s">
        <v>271</v>
      </c>
    </row>
    <row r="14" spans="1:8" ht="11.25" customHeight="1" x14ac:dyDescent="0.3">
      <c r="A14" s="8" t="s">
        <v>268</v>
      </c>
      <c r="C14" s="8" t="s">
        <v>455</v>
      </c>
      <c r="D14" s="8">
        <v>40</v>
      </c>
      <c r="E14" s="8" t="s">
        <v>9</v>
      </c>
    </row>
    <row r="15" spans="1:8" ht="11.25" customHeight="1" x14ac:dyDescent="0.3">
      <c r="A15" s="8" t="s">
        <v>268</v>
      </c>
      <c r="C15" s="8" t="s">
        <v>455</v>
      </c>
      <c r="D15" s="8">
        <v>40</v>
      </c>
      <c r="E15" s="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3BE8-339C-4D7E-A33E-9CBF7BC65A29}">
  <dimension ref="A1:V35"/>
  <sheetViews>
    <sheetView showGridLines="0" workbookViewId="0">
      <selection sqref="A1:J1"/>
    </sheetView>
  </sheetViews>
  <sheetFormatPr defaultRowHeight="11.25" customHeight="1" x14ac:dyDescent="0.3"/>
  <cols>
    <col min="1" max="1" width="9" style="8" bestFit="1" customWidth="1"/>
    <col min="2" max="2" width="10.33203125" style="8" bestFit="1" customWidth="1"/>
    <col min="3" max="3" width="9.5546875" style="8" bestFit="1" customWidth="1"/>
    <col min="4" max="4" width="5.88671875" style="8" bestFit="1" customWidth="1"/>
    <col min="5" max="10" width="7.77734375" style="8" customWidth="1"/>
    <col min="11" max="12" width="8.88671875" style="8"/>
    <col min="13" max="13" width="14.33203125" style="8" customWidth="1"/>
    <col min="14" max="14" width="16.77734375" style="8" customWidth="1"/>
    <col min="15" max="15" width="31.77734375" style="8" customWidth="1"/>
    <col min="16" max="22" width="7.77734375" style="8" customWidth="1"/>
    <col min="23" max="16384" width="8.88671875" style="8"/>
  </cols>
  <sheetData>
    <row r="1" spans="1:22" ht="11.25" customHeight="1" x14ac:dyDescent="0.3">
      <c r="A1" s="80" t="s">
        <v>645</v>
      </c>
      <c r="B1" s="105"/>
      <c r="C1" s="105"/>
      <c r="D1" s="105"/>
      <c r="E1" s="105"/>
      <c r="F1" s="105"/>
      <c r="G1" s="105"/>
      <c r="H1" s="105"/>
      <c r="I1" s="105"/>
      <c r="J1" s="105"/>
      <c r="L1" s="80" t="s">
        <v>655</v>
      </c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ht="11.25" customHeight="1" x14ac:dyDescent="0.3">
      <c r="A2" s="101" t="s">
        <v>58</v>
      </c>
      <c r="B2" s="101" t="s">
        <v>59</v>
      </c>
      <c r="C2" s="101" t="s">
        <v>646</v>
      </c>
      <c r="D2" s="101" t="s">
        <v>64</v>
      </c>
      <c r="E2" s="101" t="s">
        <v>647</v>
      </c>
      <c r="F2" s="104"/>
      <c r="G2" s="104"/>
      <c r="H2" s="101" t="s">
        <v>409</v>
      </c>
      <c r="I2" s="104"/>
      <c r="J2" s="104"/>
      <c r="L2" s="101" t="s">
        <v>58</v>
      </c>
      <c r="M2" s="101" t="s">
        <v>59</v>
      </c>
      <c r="N2" s="101" t="s">
        <v>60</v>
      </c>
      <c r="O2" s="101" t="s">
        <v>61</v>
      </c>
      <c r="P2" s="101" t="s">
        <v>64</v>
      </c>
      <c r="Q2" s="101" t="s">
        <v>647</v>
      </c>
      <c r="R2" s="106"/>
      <c r="S2" s="106"/>
      <c r="T2" s="101" t="s">
        <v>409</v>
      </c>
      <c r="U2" s="106"/>
      <c r="V2" s="106"/>
    </row>
    <row r="3" spans="1:22" ht="11.25" customHeight="1" x14ac:dyDescent="0.3">
      <c r="A3" s="104"/>
      <c r="B3" s="104"/>
      <c r="C3" s="104"/>
      <c r="D3" s="104"/>
      <c r="E3" s="101" t="s">
        <v>367</v>
      </c>
      <c r="F3" s="104"/>
      <c r="G3" s="30" t="s">
        <v>395</v>
      </c>
      <c r="H3" s="101" t="s">
        <v>367</v>
      </c>
      <c r="I3" s="104"/>
      <c r="J3" s="30" t="s">
        <v>395</v>
      </c>
      <c r="L3" s="106"/>
      <c r="M3" s="106"/>
      <c r="N3" s="106"/>
      <c r="O3" s="106"/>
      <c r="P3" s="106"/>
      <c r="Q3" s="101" t="s">
        <v>367</v>
      </c>
      <c r="R3" s="106"/>
      <c r="S3" s="30" t="s">
        <v>395</v>
      </c>
      <c r="T3" s="101" t="s">
        <v>367</v>
      </c>
      <c r="U3" s="106"/>
      <c r="V3" s="30" t="s">
        <v>395</v>
      </c>
    </row>
    <row r="4" spans="1:22" ht="11.25" customHeight="1" x14ac:dyDescent="0.3">
      <c r="A4" s="104"/>
      <c r="B4" s="104"/>
      <c r="C4" s="104"/>
      <c r="D4" s="104"/>
      <c r="E4" s="30" t="s">
        <v>648</v>
      </c>
      <c r="F4" s="30" t="s">
        <v>649</v>
      </c>
      <c r="G4" s="30" t="s">
        <v>649</v>
      </c>
      <c r="H4" s="30" t="s">
        <v>648</v>
      </c>
      <c r="I4" s="30" t="s">
        <v>649</v>
      </c>
      <c r="J4" s="30" t="s">
        <v>649</v>
      </c>
      <c r="L4" s="106"/>
      <c r="M4" s="106"/>
      <c r="N4" s="106"/>
      <c r="O4" s="106"/>
      <c r="P4" s="106"/>
      <c r="Q4" s="30" t="s">
        <v>648</v>
      </c>
      <c r="R4" s="30" t="s">
        <v>649</v>
      </c>
      <c r="S4" s="30" t="s">
        <v>649</v>
      </c>
      <c r="T4" s="30" t="s">
        <v>648</v>
      </c>
      <c r="U4" s="30" t="s">
        <v>649</v>
      </c>
      <c r="V4" s="30" t="s">
        <v>649</v>
      </c>
    </row>
    <row r="5" spans="1:22" ht="11.25" customHeight="1" x14ac:dyDescent="0.3">
      <c r="A5" s="103" t="s">
        <v>33</v>
      </c>
      <c r="B5" s="103" t="s">
        <v>34</v>
      </c>
      <c r="C5" s="103" t="s">
        <v>25</v>
      </c>
      <c r="D5" s="31" t="s">
        <v>650</v>
      </c>
      <c r="E5" s="29">
        <f ca="1">ROUND('TUSD BE'!$AM$5+'TUSD BF'!$AM$5+'TUSD CVA'!$AM$5,2)</f>
        <v>53.62</v>
      </c>
      <c r="F5" s="29">
        <f ca="1">ROUND('TUSD BE'!$AM$7+'TUSD BF'!$AM$7+'TUSD CVA'!$AM$7,2)</f>
        <v>91.43</v>
      </c>
      <c r="G5" s="29">
        <f>ROUND('TE BE'!$AB$5+'TE BF'!$AB$5+'TE CVA'!$AB$5,2)</f>
        <v>221.79</v>
      </c>
      <c r="H5" s="29">
        <f ca="1">ROUND('TUSD BE'!$AM$5,2)</f>
        <v>77.239999999999995</v>
      </c>
      <c r="I5" s="29">
        <f ca="1">ROUND('TUSD BE'!$AM$7,2)</f>
        <v>96.97</v>
      </c>
      <c r="J5" s="29">
        <f>ROUND('TE BE'!$AB$5,2)</f>
        <v>208.02</v>
      </c>
      <c r="L5" s="107" t="s">
        <v>22</v>
      </c>
      <c r="M5" s="107" t="s">
        <v>656</v>
      </c>
      <c r="N5" s="107" t="s">
        <v>657</v>
      </c>
      <c r="O5" s="107" t="s">
        <v>657</v>
      </c>
      <c r="P5" s="31" t="s">
        <v>650</v>
      </c>
      <c r="Q5" s="29">
        <v>0</v>
      </c>
      <c r="R5" s="29">
        <f ca="1">ROUND('TUSD BE'!$AM$17+'TUSD BF'!$AM$17+'TUSD CVA'!$AM$17,2)</f>
        <v>643.24</v>
      </c>
      <c r="S5" s="29">
        <f>ROUND('TE BE'!$AB$7+'TE BF'!$AB$7+'TE CVA'!$AB$7,2)</f>
        <v>221.79</v>
      </c>
      <c r="T5" s="29">
        <v>0</v>
      </c>
      <c r="U5" s="29">
        <f ca="1">ROUND('TUSD BE'!$AM$17,2)</f>
        <v>915.65</v>
      </c>
      <c r="V5" s="29">
        <f>ROUND('TE BE'!$AB$7,2)</f>
        <v>208.02</v>
      </c>
    </row>
    <row r="6" spans="1:22" ht="11.25" customHeight="1" x14ac:dyDescent="0.3">
      <c r="A6" s="104"/>
      <c r="B6" s="104"/>
      <c r="C6" s="104"/>
      <c r="D6" s="31" t="s">
        <v>651</v>
      </c>
      <c r="E6" s="29">
        <f ca="1">ROUND('TUSD BE'!$AM$6+'TUSD BF'!$AM$6+'TUSD CVA'!$AM$6,2)</f>
        <v>18.86</v>
      </c>
      <c r="F6" s="29">
        <f ca="1">ROUND('TUSD BE'!$AM$7+'TUSD BF'!$AM$7+'TUSD CVA'!$AM$7,2)</f>
        <v>91.43</v>
      </c>
      <c r="G6" s="29">
        <f>ROUND('TE BE'!$AB$6+'TE BF'!$AB$6+'TE CVA'!$AB$6,2)</f>
        <v>221.79</v>
      </c>
      <c r="H6" s="29">
        <f ca="1">ROUND('TUSD BE'!$AM$6,2)</f>
        <v>25.4</v>
      </c>
      <c r="I6" s="29">
        <f ca="1">ROUND('TUSD BE'!$AM$7,2)</f>
        <v>96.97</v>
      </c>
      <c r="J6" s="29">
        <f>ROUND('TE BE'!$AB$6,2)</f>
        <v>208.02</v>
      </c>
      <c r="L6" s="108"/>
      <c r="M6" s="108"/>
      <c r="N6" s="108"/>
      <c r="O6" s="108"/>
      <c r="P6" s="31" t="s">
        <v>658</v>
      </c>
      <c r="Q6" s="29">
        <v>0</v>
      </c>
      <c r="R6" s="29">
        <f ca="1">ROUND('TUSD BE'!$AM$18+'TUSD BF'!$AM$18+'TUSD CVA'!$AM$18,2)</f>
        <v>432.43</v>
      </c>
      <c r="S6" s="29">
        <f>ROUND('TE BE'!$AB$8+'TE BF'!$AB$8+'TE CVA'!$AB$8,2)</f>
        <v>221.79</v>
      </c>
      <c r="T6" s="29">
        <v>0</v>
      </c>
      <c r="U6" s="29">
        <f ca="1">ROUND('TUSD BE'!$AM$18,2)</f>
        <v>598.17999999999995</v>
      </c>
      <c r="V6" s="29">
        <f>ROUND('TE BE'!$AB$8,2)</f>
        <v>208.02</v>
      </c>
    </row>
    <row r="7" spans="1:22" ht="11.25" customHeight="1" x14ac:dyDescent="0.3">
      <c r="A7" s="104"/>
      <c r="B7" s="103" t="s">
        <v>652</v>
      </c>
      <c r="C7" s="103" t="s">
        <v>25</v>
      </c>
      <c r="D7" s="31" t="s">
        <v>650</v>
      </c>
      <c r="E7" s="29">
        <f ca="1">ROUND('TUSD BE'!$AM$5+'TUSD BF'!$AM$5+'TUSD CVA'!$AM$5,2)</f>
        <v>53.62</v>
      </c>
      <c r="F7" s="29">
        <f ca="1">ROUND('TUSD BE'!$AM$8+'TUSD BF'!$AM$8+'TUSD CVA'!$AM$8,2)</f>
        <v>7.58</v>
      </c>
      <c r="G7" s="29">
        <v>0</v>
      </c>
      <c r="H7" s="29">
        <f ca="1">ROUND('TUSD BE'!$AM$5,2)</f>
        <v>77.239999999999995</v>
      </c>
      <c r="I7" s="29">
        <f ca="1">ROUND('TUSD BE'!$AM$8,2)</f>
        <v>7.16</v>
      </c>
      <c r="J7" s="29">
        <v>0</v>
      </c>
      <c r="L7" s="108"/>
      <c r="M7" s="109"/>
      <c r="N7" s="109"/>
      <c r="O7" s="109"/>
      <c r="P7" s="31" t="s">
        <v>651</v>
      </c>
      <c r="Q7" s="29">
        <v>0</v>
      </c>
      <c r="R7" s="29">
        <f ca="1">ROUND('TUSD BE'!$AM$19+'TUSD BF'!$AM$19+'TUSD CVA'!$AM$19,2)</f>
        <v>221.68</v>
      </c>
      <c r="S7" s="29">
        <f>ROUND('TE BE'!$AB$9+'TE BF'!$AB$9+'TE CVA'!$AB$9,2)</f>
        <v>221.79</v>
      </c>
      <c r="T7" s="29">
        <v>0</v>
      </c>
      <c r="U7" s="29">
        <f ca="1">ROUND('TUSD BE'!$AM$19,2)</f>
        <v>280.76</v>
      </c>
      <c r="V7" s="29">
        <f>ROUND('TE BE'!$AB$9,2)</f>
        <v>208.02</v>
      </c>
    </row>
    <row r="8" spans="1:22" ht="11.25" customHeight="1" x14ac:dyDescent="0.3">
      <c r="A8" s="104"/>
      <c r="B8" s="104"/>
      <c r="C8" s="104"/>
      <c r="D8" s="31" t="s">
        <v>651</v>
      </c>
      <c r="E8" s="29">
        <f ca="1">ROUND('TUSD BE'!$AM$6+'TUSD BF'!$AM$6+'TUSD CVA'!$AM$6,2)</f>
        <v>18.86</v>
      </c>
      <c r="F8" s="29">
        <f ca="1">ROUND('TUSD BE'!$AM$8+'TUSD BF'!$AM$8+'TUSD CVA'!$AM$8,2)</f>
        <v>7.58</v>
      </c>
      <c r="G8" s="29">
        <v>0</v>
      </c>
      <c r="H8" s="29">
        <f ca="1">ROUND('TUSD BE'!$AM$6,2)</f>
        <v>25.4</v>
      </c>
      <c r="I8" s="29">
        <f ca="1">ROUND('TUSD BE'!$AM$8,2)</f>
        <v>7.16</v>
      </c>
      <c r="J8" s="29">
        <v>0</v>
      </c>
      <c r="L8" s="108"/>
      <c r="M8" s="31" t="s">
        <v>659</v>
      </c>
      <c r="N8" s="31" t="s">
        <v>657</v>
      </c>
      <c r="O8" s="31" t="s">
        <v>657</v>
      </c>
      <c r="P8" s="31" t="s">
        <v>653</v>
      </c>
      <c r="Q8" s="29">
        <v>0</v>
      </c>
      <c r="R8" s="29">
        <f ca="1">ROUND('TUSD BE'!$AM$25+'TUSD BF'!$AM$25+'TUSD CVA'!$AM$25,2)</f>
        <v>98.09</v>
      </c>
      <c r="S8" s="29">
        <f>ROUND('TE BE'!$AB$15+'TE BF'!$AB$15+'TE CVA'!$AB$15,2)</f>
        <v>221.79</v>
      </c>
      <c r="T8" s="29">
        <v>0</v>
      </c>
      <c r="U8" s="29">
        <f ca="1">ROUND('TUSD BE'!$AM$25,2)</f>
        <v>105.06</v>
      </c>
      <c r="V8" s="29">
        <f>ROUND('TE BE'!$AB$15,2)</f>
        <v>208.02</v>
      </c>
    </row>
    <row r="9" spans="1:22" ht="11.25" customHeight="1" x14ac:dyDescent="0.3">
      <c r="A9" s="104"/>
      <c r="B9" s="103" t="s">
        <v>37</v>
      </c>
      <c r="C9" s="103" t="s">
        <v>25</v>
      </c>
      <c r="D9" s="31" t="s">
        <v>653</v>
      </c>
      <c r="E9" s="29">
        <f ca="1">ROUND('TUSD BE'!$AM$10+'TUSD BF'!$AM$10+'TUSD CVA'!$AM$10,2)</f>
        <v>18.86</v>
      </c>
      <c r="F9" s="29">
        <v>0</v>
      </c>
      <c r="G9" s="29">
        <v>0</v>
      </c>
      <c r="H9" s="29">
        <f ca="1">ROUND('TUSD BE'!$AM$10,2)</f>
        <v>25.4</v>
      </c>
      <c r="I9" s="29">
        <v>0</v>
      </c>
      <c r="J9" s="29">
        <v>0</v>
      </c>
      <c r="L9" s="108"/>
      <c r="M9" s="31" t="s">
        <v>661</v>
      </c>
      <c r="N9" s="31" t="s">
        <v>657</v>
      </c>
      <c r="O9" s="31" t="s">
        <v>657</v>
      </c>
      <c r="P9" s="31" t="s">
        <v>653</v>
      </c>
      <c r="Q9" s="29">
        <v>0</v>
      </c>
      <c r="R9" s="29">
        <f ca="1">ROUND('TUSD BE'!$AM$20+'TUSD BF'!$AM$20+'TUSD CVA'!$AM$20,2)</f>
        <v>311.37</v>
      </c>
      <c r="S9" s="29">
        <f>ROUND('TE BE'!$AB$10+'TE BF'!$AB$10+'TE CVA'!$AB$10,2)</f>
        <v>221.79</v>
      </c>
      <c r="T9" s="29">
        <v>0</v>
      </c>
      <c r="U9" s="29">
        <f ca="1">ROUND('TUSD BE'!$AM$20,2)</f>
        <v>415.89</v>
      </c>
      <c r="V9" s="29">
        <f>ROUND('TE BE'!$AB$10,2)</f>
        <v>208.02</v>
      </c>
    </row>
    <row r="10" spans="1:22" ht="11.25" customHeight="1" x14ac:dyDescent="0.3">
      <c r="A10" s="104"/>
      <c r="B10" s="104"/>
      <c r="C10" s="104"/>
      <c r="D10" s="31" t="s">
        <v>650</v>
      </c>
      <c r="E10" s="29">
        <v>0</v>
      </c>
      <c r="F10" s="29">
        <f ca="1">ROUND('TUSD BE'!$AM$11+'TUSD BF'!$AM$11+'TUSD CVA'!$AM$11,2)</f>
        <v>1381.23</v>
      </c>
      <c r="G10" s="29">
        <f>ROUND('TE BE'!$AB$5+'TE BF'!$AB$5+'TE CVA'!$AB$5,2)</f>
        <v>221.79</v>
      </c>
      <c r="H10" s="29">
        <v>0</v>
      </c>
      <c r="I10" s="29">
        <f ca="1">ROUND('TUSD BE'!$AM$11,2)</f>
        <v>1954.84</v>
      </c>
      <c r="J10" s="29">
        <f>ROUND('TE BE'!$AB$5,2)</f>
        <v>208.02</v>
      </c>
      <c r="L10" s="108"/>
      <c r="M10" s="31" t="s">
        <v>659</v>
      </c>
      <c r="N10" s="31" t="s">
        <v>657</v>
      </c>
      <c r="O10" s="31" t="s">
        <v>660</v>
      </c>
      <c r="P10" s="31" t="s">
        <v>653</v>
      </c>
      <c r="Q10" s="29">
        <v>0</v>
      </c>
      <c r="R10" s="29">
        <f ca="1">ROUND('TUSD BE'!$AM$26+'TUSD BF'!$AM$26+'TUSD CVA'!$AM$26,2)</f>
        <v>0.79</v>
      </c>
      <c r="S10" s="29">
        <f>ROUND('TE BE'!$AB$16+'TE BF'!$AB$16+'TE CVA'!$AB$16,2)</f>
        <v>221.79</v>
      </c>
      <c r="T10" s="29">
        <v>0</v>
      </c>
      <c r="U10" s="29">
        <f ca="1">ROUND('TUSD BE'!$AM$26,2)</f>
        <v>0.86</v>
      </c>
      <c r="V10" s="29">
        <f>ROUND('TE BE'!$AB$16,2)</f>
        <v>208.02</v>
      </c>
    </row>
    <row r="11" spans="1:22" ht="11.25" customHeight="1" x14ac:dyDescent="0.3">
      <c r="A11" s="104"/>
      <c r="B11" s="104"/>
      <c r="C11" s="104"/>
      <c r="D11" s="31" t="s">
        <v>651</v>
      </c>
      <c r="E11" s="29">
        <v>0</v>
      </c>
      <c r="F11" s="29">
        <f ca="1">ROUND('TUSD BE'!$AM$12+'TUSD BF'!$AM$12+'TUSD CVA'!$AM$12,2)</f>
        <v>91.43</v>
      </c>
      <c r="G11" s="29">
        <f>ROUND('TE BE'!$AB$6+'TE BF'!$AB$6+'TE CVA'!$AB$6,2)</f>
        <v>221.79</v>
      </c>
      <c r="H11" s="29">
        <v>0</v>
      </c>
      <c r="I11" s="29">
        <f ca="1">ROUND('TUSD BE'!$AM$12,2)</f>
        <v>96.97</v>
      </c>
      <c r="J11" s="29">
        <f>ROUND('TE BE'!$AB$6,2)</f>
        <v>208.02</v>
      </c>
      <c r="L11" s="109"/>
      <c r="M11" s="31" t="s">
        <v>661</v>
      </c>
      <c r="N11" s="31" t="s">
        <v>657</v>
      </c>
      <c r="O11" s="31" t="s">
        <v>660</v>
      </c>
      <c r="P11" s="31" t="s">
        <v>653</v>
      </c>
      <c r="Q11" s="29">
        <v>0</v>
      </c>
      <c r="R11" s="29">
        <f ca="1">ROUND('TUSD BE'!$AM$21+'TUSD BF'!$AM$21+'TUSD CVA'!$AM$21,2)</f>
        <v>214.07</v>
      </c>
      <c r="S11" s="29">
        <f>ROUND('TE BE'!$AB$11+'TE BF'!$AB$11+'TE CVA'!$AB$11,2)</f>
        <v>221.79</v>
      </c>
      <c r="T11" s="29">
        <v>0</v>
      </c>
      <c r="U11" s="29">
        <f ca="1">ROUND('TUSD BE'!$AM$21,2)</f>
        <v>311.69</v>
      </c>
      <c r="V11" s="29">
        <f>ROUND('TE BE'!$AB$11,2)</f>
        <v>208.02</v>
      </c>
    </row>
    <row r="12" spans="1:22" ht="11.25" customHeight="1" x14ac:dyDescent="0.3">
      <c r="A12" s="104"/>
      <c r="B12" s="103" t="s">
        <v>654</v>
      </c>
      <c r="C12" s="103" t="s">
        <v>25</v>
      </c>
      <c r="D12" s="31" t="s">
        <v>653</v>
      </c>
      <c r="E12" s="29">
        <f ca="1">ROUND('TUSD BE'!$AM$10+'TUSD BF'!$AM$10+'TUSD CVA'!$AM$10,2)</f>
        <v>18.86</v>
      </c>
      <c r="F12" s="29">
        <v>0</v>
      </c>
      <c r="G12" s="29">
        <v>0</v>
      </c>
      <c r="H12" s="29">
        <f ca="1">ROUND('TUSD BE'!$AM$10,2)</f>
        <v>25.4</v>
      </c>
      <c r="I12" s="29">
        <v>0</v>
      </c>
      <c r="J12" s="29">
        <v>0</v>
      </c>
      <c r="L12" s="107" t="s">
        <v>39</v>
      </c>
      <c r="M12" s="107" t="s">
        <v>656</v>
      </c>
      <c r="N12" s="107" t="s">
        <v>662</v>
      </c>
      <c r="O12" s="107" t="s">
        <v>663</v>
      </c>
      <c r="P12" s="31" t="s">
        <v>650</v>
      </c>
      <c r="Q12" s="29">
        <v>0</v>
      </c>
      <c r="R12" s="29">
        <f ca="1">ROUND(('TUSD BE'!$AM$30+'TUSD BF'!$AM$30+'TUSD CVA'!$AM$30)*(1-CUSTOS!$M$38),2)</f>
        <v>650.4</v>
      </c>
      <c r="S12" s="29">
        <f>ROUND(('TE BE'!$AB$20+'TE BF'!$AB$20+'TE CVA'!$AB$20)*(1-CUSTOS!$M$38),2)</f>
        <v>208.48</v>
      </c>
      <c r="T12" s="29">
        <v>0</v>
      </c>
      <c r="U12" s="29">
        <f ca="1">ROUND('TUSD BE'!$AM$30*(1-CUSTOS!$M$38),2)</f>
        <v>929.68</v>
      </c>
      <c r="V12" s="29">
        <f>ROUND('TE BE'!$AB$20*(1-CUSTOS!$M$38),2)</f>
        <v>195.54</v>
      </c>
    </row>
    <row r="13" spans="1:22" ht="11.25" customHeight="1" x14ac:dyDescent="0.3">
      <c r="A13" s="104"/>
      <c r="B13" s="104"/>
      <c r="C13" s="104"/>
      <c r="D13" s="31" t="s">
        <v>650</v>
      </c>
      <c r="E13" s="29">
        <v>0</v>
      </c>
      <c r="F13" s="29">
        <f ca="1">ROUND('TUSD BE'!$AM$13+'TUSD BF'!$AM$13+'TUSD CVA'!$AM$13,2)</f>
        <v>1297.3800000000001</v>
      </c>
      <c r="G13" s="29">
        <v>0</v>
      </c>
      <c r="H13" s="29">
        <v>0</v>
      </c>
      <c r="I13" s="29">
        <f ca="1">ROUND('TUSD BE'!$AM$13,2)</f>
        <v>1865.04</v>
      </c>
      <c r="J13" s="29">
        <v>0</v>
      </c>
      <c r="L13" s="108"/>
      <c r="M13" s="108"/>
      <c r="N13" s="108"/>
      <c r="O13" s="108"/>
      <c r="P13" s="31" t="s">
        <v>658</v>
      </c>
      <c r="Q13" s="29">
        <v>0</v>
      </c>
      <c r="R13" s="29">
        <f ca="1">ROUND(('TUSD BE'!$AM$31+'TUSD BF'!$AM$31+'TUSD CVA'!$AM$31)*(1-CUSTOS!$M$38),2)</f>
        <v>433.92</v>
      </c>
      <c r="S13" s="29">
        <f>ROUND(('TE BE'!$AB$21+'TE BF'!$AB$21+'TE CVA'!$AB$21)*(1-CUSTOS!$M$38),2)</f>
        <v>208.48</v>
      </c>
      <c r="T13" s="29">
        <v>0</v>
      </c>
      <c r="U13" s="29">
        <f ca="1">ROUND('TUSD BE'!$AM$31*(1-CUSTOS!$M$38),2)</f>
        <v>603.65</v>
      </c>
      <c r="V13" s="29">
        <f>ROUND('TE BE'!$AB$21*(1-CUSTOS!$M$38),2)</f>
        <v>195.54</v>
      </c>
    </row>
    <row r="14" spans="1:22" ht="11.25" customHeight="1" x14ac:dyDescent="0.3">
      <c r="A14" s="104"/>
      <c r="B14" s="104"/>
      <c r="C14" s="104"/>
      <c r="D14" s="31" t="s">
        <v>651</v>
      </c>
      <c r="E14" s="29">
        <v>0</v>
      </c>
      <c r="F14" s="29">
        <f ca="1">ROUND('TUSD BE'!$AM$14+'TUSD BF'!$AM$14+'TUSD CVA'!$AM$14,2)</f>
        <v>7.58</v>
      </c>
      <c r="G14" s="29">
        <v>0</v>
      </c>
      <c r="H14" s="29">
        <v>0</v>
      </c>
      <c r="I14" s="29">
        <f ca="1">ROUND('TUSD BE'!$AM$14,2)</f>
        <v>7.16</v>
      </c>
      <c r="J14" s="29">
        <v>0</v>
      </c>
      <c r="L14" s="108"/>
      <c r="M14" s="109"/>
      <c r="N14" s="109"/>
      <c r="O14" s="109"/>
      <c r="P14" s="31" t="s">
        <v>651</v>
      </c>
      <c r="Q14" s="29">
        <v>0</v>
      </c>
      <c r="R14" s="29">
        <f ca="1">ROUND(('TUSD BE'!$AM$32+'TUSD BF'!$AM$32+'TUSD CVA'!$AM$32)*(1-CUSTOS!$M$38),2)</f>
        <v>217.44</v>
      </c>
      <c r="S14" s="29">
        <f>ROUND(('TE BE'!$AB$22+'TE BF'!$AB$22+'TE CVA'!$AB$22)*(1-CUSTOS!$M$38),2)</f>
        <v>208.48</v>
      </c>
      <c r="T14" s="29">
        <v>0</v>
      </c>
      <c r="U14" s="29">
        <f ca="1">ROUND('TUSD BE'!$AM$32*(1-CUSTOS!$M$38),2)</f>
        <v>277.63</v>
      </c>
      <c r="V14" s="29">
        <f>ROUND('TE BE'!$AB$22*(1-CUSTOS!$M$38),2)</f>
        <v>195.54</v>
      </c>
    </row>
    <row r="15" spans="1:22" ht="11.25" customHeight="1" x14ac:dyDescent="0.3">
      <c r="A15" s="104"/>
      <c r="B15" s="31" t="s">
        <v>76</v>
      </c>
      <c r="C15" s="31" t="s">
        <v>25</v>
      </c>
      <c r="D15" s="31" t="s">
        <v>653</v>
      </c>
      <c r="E15" s="29">
        <f ca="1">ROUND('TUSD BE'!$AM$9+'TUSD BF'!$AM$9+'TUSD CVA'!$AM$9,2)</f>
        <v>2.86</v>
      </c>
      <c r="F15" s="29">
        <v>0</v>
      </c>
      <c r="G15" s="29">
        <v>0</v>
      </c>
      <c r="H15" s="29">
        <f ca="1">ROUND('TUSD BE'!$AM$9,2)</f>
        <v>5.91</v>
      </c>
      <c r="I15" s="29">
        <v>0</v>
      </c>
      <c r="J15" s="29">
        <v>0</v>
      </c>
      <c r="L15" s="108"/>
      <c r="M15" s="31" t="s">
        <v>659</v>
      </c>
      <c r="N15" s="31" t="s">
        <v>662</v>
      </c>
      <c r="O15" s="31" t="s">
        <v>663</v>
      </c>
      <c r="P15" s="31" t="s">
        <v>653</v>
      </c>
      <c r="Q15" s="29">
        <v>0</v>
      </c>
      <c r="R15" s="29">
        <f ca="1">ROUND(('TUSD BE'!$AM$42+'TUSD BF'!$AM$42+'TUSD CVA'!$AM$42)*(1-CUSTOS!$M$38),2)</f>
        <v>292.69</v>
      </c>
      <c r="S15" s="29">
        <f>ROUND(('TE BE'!$AB$32+'TE BF'!$AB$32+'TE CVA'!$AB$32)*(1-CUSTOS!$M$38),2)</f>
        <v>208.48</v>
      </c>
      <c r="T15" s="29">
        <v>0</v>
      </c>
      <c r="U15" s="29">
        <f ca="1">ROUND(('TUSD BE'!$AM$42)*(1-CUSTOS!$M$38),2)</f>
        <v>390.93</v>
      </c>
      <c r="V15" s="29">
        <f>ROUND(('TE BE'!$AB$32)*(1-CUSTOS!$M$38),2)</f>
        <v>195.54</v>
      </c>
    </row>
    <row r="16" spans="1:22" ht="11.25" customHeight="1" x14ac:dyDescent="0.3">
      <c r="L16" s="108"/>
      <c r="M16" s="31" t="s">
        <v>661</v>
      </c>
      <c r="N16" s="31" t="s">
        <v>662</v>
      </c>
      <c r="O16" s="31" t="s">
        <v>663</v>
      </c>
      <c r="P16" s="31" t="s">
        <v>653</v>
      </c>
      <c r="Q16" s="29">
        <v>0</v>
      </c>
      <c r="R16" s="29">
        <f ca="1">ROUND(('TUSD BE'!$AM$33+'TUSD BF'!$AM$33+'TUSD CVA'!$AM$33)*(1-CUSTOS!$M$38),2)</f>
        <v>292.69</v>
      </c>
      <c r="S16" s="29">
        <f>ROUND(('TE BE'!$AB$23+'TE BF'!$AB$23+'TE CVA'!$AB$23)*(1-CUSTOS!$M$38),2)</f>
        <v>208.48</v>
      </c>
      <c r="T16" s="29">
        <v>0</v>
      </c>
      <c r="U16" s="29">
        <f ca="1">ROUND(('TUSD BE'!$AM$33)*(1-CUSTOS!$M$38),2)</f>
        <v>390.93</v>
      </c>
      <c r="V16" s="29">
        <f>ROUND(('TE BE'!$AB$23)*(1-CUSTOS!$M$38),2)</f>
        <v>195.54</v>
      </c>
    </row>
    <row r="17" spans="12:22" ht="11.25" customHeight="1" x14ac:dyDescent="0.3">
      <c r="L17" s="108"/>
      <c r="M17" s="107" t="s">
        <v>656</v>
      </c>
      <c r="N17" s="107" t="s">
        <v>662</v>
      </c>
      <c r="O17" s="107" t="s">
        <v>664</v>
      </c>
      <c r="P17" s="31" t="s">
        <v>650</v>
      </c>
      <c r="Q17" s="29">
        <v>0</v>
      </c>
      <c r="R17" s="29">
        <f ca="1">ROUND(('TUSD BE'!$AM$34+'TUSD BF'!$AM$34+'TUSD CVA'!$AM$34)*(1-CUSTOS!$M$39),2)</f>
        <v>650.4</v>
      </c>
      <c r="S17" s="29">
        <f>ROUND(('TE BE'!$AB$24+'TE BF'!$AB$24+'TE CVA'!$AB$24)*(1-CUSTOS!$M$39),2)</f>
        <v>208.48</v>
      </c>
      <c r="T17" s="29">
        <v>0</v>
      </c>
      <c r="U17" s="29">
        <f ca="1">ROUND('TUSD BE'!$AM$34*(1-CUSTOS!$M$39),2)</f>
        <v>929.68</v>
      </c>
      <c r="V17" s="29">
        <f>ROUND('TE BE'!$AB$24*(1-CUSTOS!$M$39),2)</f>
        <v>195.54</v>
      </c>
    </row>
    <row r="18" spans="12:22" ht="11.25" customHeight="1" x14ac:dyDescent="0.3">
      <c r="L18" s="108"/>
      <c r="M18" s="108"/>
      <c r="N18" s="108"/>
      <c r="O18" s="108"/>
      <c r="P18" s="31" t="s">
        <v>658</v>
      </c>
      <c r="Q18" s="29">
        <v>0</v>
      </c>
      <c r="R18" s="29">
        <f ca="1">ROUND(('TUSD BE'!$AM$35+'TUSD BF'!$AM$35+'TUSD CVA'!$AM$35)*(1-CUSTOS!$M$39),2)</f>
        <v>433.92</v>
      </c>
      <c r="S18" s="29">
        <f>ROUND(('TE BE'!$AB$25+'TE BF'!$AB$25+'TE CVA'!$AB$25)*(1-CUSTOS!$M$39),2)</f>
        <v>208.48</v>
      </c>
      <c r="T18" s="29">
        <v>0</v>
      </c>
      <c r="U18" s="29">
        <f ca="1">ROUND('TUSD BE'!$AM$35*(1-CUSTOS!$M$39),2)</f>
        <v>603.65</v>
      </c>
      <c r="V18" s="29">
        <f>ROUND('TE BE'!$AB$25*(1-CUSTOS!$M$39),2)</f>
        <v>195.54</v>
      </c>
    </row>
    <row r="19" spans="12:22" ht="11.25" customHeight="1" x14ac:dyDescent="0.3">
      <c r="L19" s="108"/>
      <c r="M19" s="109"/>
      <c r="N19" s="109"/>
      <c r="O19" s="109"/>
      <c r="P19" s="31" t="s">
        <v>651</v>
      </c>
      <c r="Q19" s="29">
        <v>0</v>
      </c>
      <c r="R19" s="29">
        <f ca="1">ROUND(('TUSD BE'!$AM$36+'TUSD BF'!$AM$36+'TUSD CVA'!$AM$36)*(1-CUSTOS!$M$39),2)</f>
        <v>217.44</v>
      </c>
      <c r="S19" s="29">
        <f>ROUND(('TE BE'!$AB$26+'TE BF'!$AB$26+'TE CVA'!$AB$26)*(1-CUSTOS!$M$39),2)</f>
        <v>208.48</v>
      </c>
      <c r="T19" s="29">
        <v>0</v>
      </c>
      <c r="U19" s="29">
        <f ca="1">ROUND('TUSD BE'!$AM$36*(1-CUSTOS!$M$39),2)</f>
        <v>277.63</v>
      </c>
      <c r="V19" s="29">
        <f>ROUND('TE BE'!$AB$26*(1-CUSTOS!$M$39),2)</f>
        <v>195.54</v>
      </c>
    </row>
    <row r="20" spans="12:22" ht="11.25" customHeight="1" x14ac:dyDescent="0.3">
      <c r="L20" s="108"/>
      <c r="M20" s="31" t="s">
        <v>659</v>
      </c>
      <c r="N20" s="31" t="s">
        <v>662</v>
      </c>
      <c r="O20" s="31" t="s">
        <v>664</v>
      </c>
      <c r="P20" s="31" t="s">
        <v>653</v>
      </c>
      <c r="Q20" s="29">
        <v>0</v>
      </c>
      <c r="R20" s="29">
        <f ca="1">ROUND(('TUSD BE'!$AM$42+'TUSD BF'!$AM$42+'TUSD CVA'!$AM$42)*(1-CUSTOS!$M$39),2)</f>
        <v>292.69</v>
      </c>
      <c r="S20" s="29">
        <f>ROUND(('TE BE'!$AB$32+'TE BF'!$AB$32+'TE CVA'!$AB$32)*(1-CUSTOS!$M$39),2)</f>
        <v>208.48</v>
      </c>
      <c r="T20" s="29">
        <v>0</v>
      </c>
      <c r="U20" s="29">
        <f ca="1">ROUND(('TUSD BE'!$AM$42)*(1-CUSTOS!$M$39),2)</f>
        <v>390.93</v>
      </c>
      <c r="V20" s="29">
        <f>ROUND(('TE BE'!$AB$32)*(1-CUSTOS!$M$39),2)</f>
        <v>195.54</v>
      </c>
    </row>
    <row r="21" spans="12:22" ht="11.25" customHeight="1" x14ac:dyDescent="0.3">
      <c r="L21" s="108"/>
      <c r="M21" s="31" t="s">
        <v>661</v>
      </c>
      <c r="N21" s="31" t="s">
        <v>662</v>
      </c>
      <c r="O21" s="31" t="s">
        <v>664</v>
      </c>
      <c r="P21" s="31" t="s">
        <v>653</v>
      </c>
      <c r="Q21" s="29">
        <v>0</v>
      </c>
      <c r="R21" s="29">
        <f ca="1">ROUND(('TUSD BE'!$AM$33+'TUSD BF'!$AM$33+'TUSD CVA'!$AM$33)*(1-CUSTOS!$M$39),2)</f>
        <v>292.69</v>
      </c>
      <c r="S21" s="29">
        <f>ROUND(('TE BE'!$AB$23+'TE BF'!$AB$23+'TE CVA'!$AB$23)*(1-CUSTOS!$M$39),2)</f>
        <v>208.48</v>
      </c>
      <c r="T21" s="29">
        <v>0</v>
      </c>
      <c r="U21" s="29">
        <f ca="1">ROUND(('TUSD BE'!$AM$33)*(1-CUSTOS!$M$39),2)</f>
        <v>390.93</v>
      </c>
      <c r="V21" s="29">
        <f>ROUND(('TE BE'!$AB$23)*(1-CUSTOS!$M$39),2)</f>
        <v>195.54</v>
      </c>
    </row>
    <row r="22" spans="12:22" ht="11.25" customHeight="1" x14ac:dyDescent="0.3">
      <c r="L22" s="108"/>
      <c r="M22" s="107" t="s">
        <v>656</v>
      </c>
      <c r="N22" s="107" t="s">
        <v>662</v>
      </c>
      <c r="O22" s="107" t="s">
        <v>665</v>
      </c>
      <c r="P22" s="31" t="s">
        <v>650</v>
      </c>
      <c r="Q22" s="29">
        <v>0</v>
      </c>
      <c r="R22" s="29">
        <f ca="1">ROUND(('TUSD BE'!$AM$38+'TUSD BF'!$AM$38+'TUSD CVA'!$AM$38)*(1-CUSTOS!$M$40),2)</f>
        <v>636.55999999999995</v>
      </c>
      <c r="S22" s="29">
        <f>ROUND(('TE BE'!$AB$28+'TE BF'!$AB$28+'TE CVA'!$AB$28)*(1-CUSTOS!$M$40),2)</f>
        <v>204.05</v>
      </c>
      <c r="T22" s="29">
        <v>0</v>
      </c>
      <c r="U22" s="29">
        <f ca="1">ROUND('TUSD BE'!$AM$38*(1-CUSTOS!$M$40),2)</f>
        <v>909.9</v>
      </c>
      <c r="V22" s="29">
        <f>ROUND('TE BE'!$AB$28*(1-CUSTOS!$M$40),2)</f>
        <v>191.38</v>
      </c>
    </row>
    <row r="23" spans="12:22" ht="11.25" customHeight="1" x14ac:dyDescent="0.3">
      <c r="L23" s="108"/>
      <c r="M23" s="108"/>
      <c r="N23" s="108"/>
      <c r="O23" s="108"/>
      <c r="P23" s="31" t="s">
        <v>658</v>
      </c>
      <c r="Q23" s="29">
        <v>0</v>
      </c>
      <c r="R23" s="29">
        <f ca="1">ROUND(('TUSD BE'!$AM$39+'TUSD BF'!$AM$39+'TUSD CVA'!$AM$39)*(1-CUSTOS!$M$40),2)</f>
        <v>424.69</v>
      </c>
      <c r="S23" s="29">
        <f>ROUND(('TE BE'!$AB$29+'TE BF'!$AB$29+'TE CVA'!$AB$29)*(1-CUSTOS!$M$40),2)</f>
        <v>204.05</v>
      </c>
      <c r="T23" s="29">
        <v>0</v>
      </c>
      <c r="U23" s="29">
        <f ca="1">ROUND('TUSD BE'!$AM$39*(1-CUSTOS!$M$40),2)</f>
        <v>590.80999999999995</v>
      </c>
      <c r="V23" s="29">
        <f>ROUND('TE BE'!$AB$29*(1-CUSTOS!$M$40),2)</f>
        <v>191.38</v>
      </c>
    </row>
    <row r="24" spans="12:22" ht="11.25" customHeight="1" x14ac:dyDescent="0.3">
      <c r="L24" s="108"/>
      <c r="M24" s="109"/>
      <c r="N24" s="109"/>
      <c r="O24" s="109"/>
      <c r="P24" s="31" t="s">
        <v>651</v>
      </c>
      <c r="Q24" s="29">
        <v>0</v>
      </c>
      <c r="R24" s="29">
        <f ca="1">ROUND(('TUSD BE'!$AM$40+'TUSD BF'!$AM$40+'TUSD CVA'!$AM$40)*(1-CUSTOS!$M$40),2)</f>
        <v>212.81</v>
      </c>
      <c r="S24" s="29">
        <f>ROUND(('TE BE'!$AB$30+'TE BF'!$AB$30+'TE CVA'!$AB$30)*(1-CUSTOS!$M$40),2)</f>
        <v>204.05</v>
      </c>
      <c r="T24" s="29">
        <v>0</v>
      </c>
      <c r="U24" s="29">
        <f ca="1">ROUND('TUSD BE'!$AM$40*(1-CUSTOS!$M$40),2)</f>
        <v>271.72000000000003</v>
      </c>
      <c r="V24" s="29">
        <f>ROUND('TE BE'!$AB$30*(1-CUSTOS!$M$40),2)</f>
        <v>191.38</v>
      </c>
    </row>
    <row r="25" spans="12:22" ht="11.25" customHeight="1" x14ac:dyDescent="0.3">
      <c r="L25" s="108"/>
      <c r="M25" s="31" t="s">
        <v>659</v>
      </c>
      <c r="N25" s="31" t="s">
        <v>662</v>
      </c>
      <c r="O25" s="31" t="s">
        <v>665</v>
      </c>
      <c r="P25" s="31" t="s">
        <v>653</v>
      </c>
      <c r="Q25" s="29">
        <v>0</v>
      </c>
      <c r="R25" s="29">
        <f ca="1">ROUND(('TUSD BE'!$AM$42+'TUSD BF'!$AM$42+'TUSD CVA'!$AM$42)*(1-CUSTOS!$M$40),2)</f>
        <v>286.45999999999998</v>
      </c>
      <c r="S25" s="29">
        <f>ROUND(('TE BE'!$AB$32+'TE BF'!$AB$32+'TE CVA'!$AB$32)*(1-CUSTOS!$M$40),2)</f>
        <v>204.05</v>
      </c>
      <c r="T25" s="29">
        <v>0</v>
      </c>
      <c r="U25" s="29">
        <f ca="1">ROUND(('TUSD BE'!$AM$42)*(1-CUSTOS!$M$40),2)</f>
        <v>382.62</v>
      </c>
      <c r="V25" s="29">
        <f>ROUND(('TE BE'!$AB$32)*(1-CUSTOS!$M$40),2)</f>
        <v>191.38</v>
      </c>
    </row>
    <row r="26" spans="12:22" ht="11.25" customHeight="1" x14ac:dyDescent="0.3">
      <c r="L26" s="109"/>
      <c r="M26" s="31" t="s">
        <v>661</v>
      </c>
      <c r="N26" s="31" t="s">
        <v>662</v>
      </c>
      <c r="O26" s="31" t="s">
        <v>665</v>
      </c>
      <c r="P26" s="31" t="s">
        <v>653</v>
      </c>
      <c r="Q26" s="29">
        <v>0</v>
      </c>
      <c r="R26" s="29">
        <f ca="1">ROUND(('TUSD BE'!$AM$33+'TUSD BF'!$AM$33+'TUSD CVA'!$AM$33)*(1-CUSTOS!$M$40),2)</f>
        <v>286.45999999999998</v>
      </c>
      <c r="S26" s="29">
        <f>ROUND(('TE BE'!$AB$23+'TE BF'!$AB$23+'TE CVA'!$AB$23)*(1-CUSTOS!$M$40),2)</f>
        <v>204.05</v>
      </c>
      <c r="T26" s="29">
        <v>0</v>
      </c>
      <c r="U26" s="29">
        <f ca="1">ROUND(('TUSD BE'!$AM$33)*(1-CUSTOS!$M$40),2)</f>
        <v>382.62</v>
      </c>
      <c r="V26" s="29">
        <f>ROUND(('TE BE'!$AB$23)*(1-CUSTOS!$M$40),2)</f>
        <v>191.38</v>
      </c>
    </row>
    <row r="27" spans="12:22" ht="11.25" customHeight="1" x14ac:dyDescent="0.3">
      <c r="L27" s="107" t="s">
        <v>31</v>
      </c>
      <c r="M27" s="107" t="s">
        <v>656</v>
      </c>
      <c r="N27" s="107" t="s">
        <v>653</v>
      </c>
      <c r="O27" s="107" t="s">
        <v>653</v>
      </c>
      <c r="P27" s="31" t="s">
        <v>650</v>
      </c>
      <c r="Q27" s="29">
        <v>0</v>
      </c>
      <c r="R27" s="29">
        <f ca="1">ROUND(('TUSD BE'!$AM$45+'TUSD BF'!$AM$45+'TUSD CVA'!$AM$45)*(1-CUSTOS!$M$31),2)</f>
        <v>789.57</v>
      </c>
      <c r="S27" s="29">
        <f>ROUND(('TE BE'!$AB$35+'TE BF'!$AB$35+'TE CVA'!$AB$35)*(1-CUSTOS!$M$31),2)</f>
        <v>221.79</v>
      </c>
      <c r="T27" s="29">
        <v>0</v>
      </c>
      <c r="U27" s="29">
        <f ca="1">ROUND('TUSD BE'!$AM$45*(1-CUSTOS!$M$31),2)</f>
        <v>1136.05</v>
      </c>
      <c r="V27" s="29">
        <f>ROUND('TE BE'!$AB$35*(1-CUSTOS!$M$31),2)</f>
        <v>208.02</v>
      </c>
    </row>
    <row r="28" spans="12:22" ht="11.25" customHeight="1" x14ac:dyDescent="0.3">
      <c r="L28" s="108"/>
      <c r="M28" s="108"/>
      <c r="N28" s="108"/>
      <c r="O28" s="108"/>
      <c r="P28" s="31" t="s">
        <v>658</v>
      </c>
      <c r="Q28" s="29">
        <v>0</v>
      </c>
      <c r="R28" s="29">
        <f ca="1">ROUND(('TUSD BE'!$AM$46+'TUSD BF'!$AM$46+'TUSD CVA'!$AM$46)*(1-CUSTOS!$M$31),2)</f>
        <v>520.19000000000005</v>
      </c>
      <c r="S28" s="29">
        <f>ROUND(('TE BE'!$AB$36+'TE BF'!$AB$36+'TE CVA'!$AB$36)*(1-CUSTOS!$M$31),2)</f>
        <v>221.79</v>
      </c>
      <c r="T28" s="29">
        <v>0</v>
      </c>
      <c r="U28" s="29">
        <f ca="1">ROUND('TUSD BE'!$AM$46*(1-CUSTOS!$M$31),2)</f>
        <v>730.38</v>
      </c>
      <c r="V28" s="29">
        <f>ROUND('TE BE'!$AB$36*(1-CUSTOS!$M$31),2)</f>
        <v>208.02</v>
      </c>
    </row>
    <row r="29" spans="12:22" ht="11.25" customHeight="1" x14ac:dyDescent="0.3">
      <c r="L29" s="108"/>
      <c r="M29" s="109"/>
      <c r="N29" s="109"/>
      <c r="O29" s="109"/>
      <c r="P29" s="31" t="s">
        <v>651</v>
      </c>
      <c r="Q29" s="29">
        <v>0</v>
      </c>
      <c r="R29" s="29">
        <f ca="1">ROUND(('TUSD BE'!$AM$47+'TUSD BF'!$AM$47+'TUSD CVA'!$AM$47)*(1-CUSTOS!$M$31),2)</f>
        <v>250.86</v>
      </c>
      <c r="S29" s="29">
        <f>ROUND(('TE BE'!$AB$37+'TE BF'!$AB$37+'TE CVA'!$AB$37)*(1-CUSTOS!$M$31),2)</f>
        <v>221.79</v>
      </c>
      <c r="T29" s="29">
        <v>0</v>
      </c>
      <c r="U29" s="29">
        <f ca="1">ROUND('TUSD BE'!$AM$47*(1-CUSTOS!$M$31),2)</f>
        <v>324.76</v>
      </c>
      <c r="V29" s="29">
        <f>ROUND('TE BE'!$AB$37*(1-CUSTOS!$M$31),2)</f>
        <v>208.02</v>
      </c>
    </row>
    <row r="30" spans="12:22" ht="11.25" customHeight="1" x14ac:dyDescent="0.3">
      <c r="L30" s="108"/>
      <c r="M30" s="31" t="s">
        <v>659</v>
      </c>
      <c r="N30" s="31" t="s">
        <v>653</v>
      </c>
      <c r="O30" s="31" t="s">
        <v>653</v>
      </c>
      <c r="P30" s="31" t="s">
        <v>653</v>
      </c>
      <c r="Q30" s="29">
        <v>0</v>
      </c>
      <c r="R30" s="29">
        <f ca="1">ROUND(('TUSD BE'!$AM$49+'TUSD BF'!$AM$49+'TUSD CVA'!$AM$49)*(1-CUSTOS!$M$31),2)</f>
        <v>311.37</v>
      </c>
      <c r="S30" s="29">
        <f>ROUND(('TE BE'!$AB$39+'TE BF'!$AB$39+'TE CVA'!$AB$39)*(1-CUSTOS!$M$31),2)</f>
        <v>221.79</v>
      </c>
      <c r="T30" s="29">
        <v>0</v>
      </c>
      <c r="U30" s="29">
        <f ca="1">ROUND(('TUSD BE'!$AM$49)*(1-CUSTOS!$M$31),2)</f>
        <v>415.89</v>
      </c>
      <c r="V30" s="29">
        <f>ROUND(('TE BE'!$AB$39)*(1-CUSTOS!$M$31),2)</f>
        <v>208.02</v>
      </c>
    </row>
    <row r="31" spans="12:22" ht="11.25" customHeight="1" x14ac:dyDescent="0.3">
      <c r="L31" s="109"/>
      <c r="M31" s="31" t="s">
        <v>661</v>
      </c>
      <c r="N31" s="31" t="s">
        <v>653</v>
      </c>
      <c r="O31" s="31" t="s">
        <v>653</v>
      </c>
      <c r="P31" s="31" t="s">
        <v>653</v>
      </c>
      <c r="Q31" s="29">
        <v>0</v>
      </c>
      <c r="R31" s="29">
        <f ca="1">ROUND(('TUSD BE'!$AM$48+'TUSD BF'!$AM$48+'TUSD CVA'!$AM$48)*(1-CUSTOS!$M$31),2)</f>
        <v>311.37</v>
      </c>
      <c r="S31" s="29">
        <f>ROUND(('TE BE'!$AB$38+'TE BF'!$AB$38+'TE CVA'!$AB$38)*(1-CUSTOS!$M$31),2)</f>
        <v>221.79</v>
      </c>
      <c r="T31" s="29">
        <v>0</v>
      </c>
      <c r="U31" s="29">
        <f ca="1">ROUND(('TUSD BE'!$AM$48)*(1-CUSTOS!$M$31),2)</f>
        <v>415.89</v>
      </c>
      <c r="V31" s="29">
        <f>ROUND(('TE BE'!$AB$38)*(1-CUSTOS!$M$31),2)</f>
        <v>208.02</v>
      </c>
    </row>
    <row r="32" spans="12:22" ht="11.25" customHeight="1" x14ac:dyDescent="0.3">
      <c r="L32" s="107" t="s">
        <v>43</v>
      </c>
      <c r="M32" s="107" t="s">
        <v>661</v>
      </c>
      <c r="N32" s="107" t="s">
        <v>666</v>
      </c>
      <c r="O32" s="31" t="s">
        <v>667</v>
      </c>
      <c r="P32" s="31" t="s">
        <v>653</v>
      </c>
      <c r="Q32" s="29">
        <v>0</v>
      </c>
      <c r="R32" s="29">
        <f ca="1">ROUND(('TUSD BE'!$AM$50+'TUSD BF'!$AM$50+'TUSD CVA'!$AM$50),2)</f>
        <v>171.25</v>
      </c>
      <c r="S32" s="29">
        <f>ROUND(('TE BE'!$AB$40+'TE BF'!$AB$40+'TE CVA'!$AB$40),2)</f>
        <v>121.99</v>
      </c>
      <c r="T32" s="29">
        <v>0</v>
      </c>
      <c r="U32" s="29">
        <f ca="1">ROUND(('TUSD BE'!$AM$50),2)</f>
        <v>228.74</v>
      </c>
      <c r="V32" s="29">
        <f>ROUND(('TE BE'!$AB$40),2)</f>
        <v>114.41</v>
      </c>
    </row>
    <row r="33" spans="12:22" ht="11.25" customHeight="1" x14ac:dyDescent="0.3">
      <c r="L33" s="109"/>
      <c r="M33" s="109"/>
      <c r="N33" s="109"/>
      <c r="O33" s="31" t="s">
        <v>668</v>
      </c>
      <c r="P33" s="31" t="s">
        <v>653</v>
      </c>
      <c r="Q33" s="29">
        <v>0</v>
      </c>
      <c r="R33" s="29">
        <f ca="1">ROUND(('TUSD BE'!$AM$51+'TUSD BF'!$AM$51+'TUSD CVA'!$AM$51),2)</f>
        <v>186.82</v>
      </c>
      <c r="S33" s="29">
        <f>ROUND(('TE BE'!$AB$41+'TE BF'!$AB$41+'TE CVA'!$AB$41),2)</f>
        <v>133.08000000000001</v>
      </c>
      <c r="T33" s="29">
        <v>0</v>
      </c>
      <c r="U33" s="29">
        <f ca="1">ROUND(('TUSD BE'!$AM$51),2)</f>
        <v>249.53</v>
      </c>
      <c r="V33" s="29">
        <f>ROUND(('TE BE'!$AB$41),2)</f>
        <v>124.81</v>
      </c>
    </row>
    <row r="34" spans="12:22" ht="11.25" customHeight="1" x14ac:dyDescent="0.3">
      <c r="L34" s="107" t="s">
        <v>77</v>
      </c>
      <c r="M34" s="107" t="s">
        <v>669</v>
      </c>
      <c r="N34" s="31" t="s">
        <v>78</v>
      </c>
      <c r="O34" s="31" t="s">
        <v>653</v>
      </c>
      <c r="P34" s="31" t="s">
        <v>653</v>
      </c>
      <c r="Q34" s="29">
        <f ca="1">ROUND(('TUSD BE'!$AM$15+'TUSD BF'!$AM$15+'TUSD CVA'!$AM$15),2)</f>
        <v>2.95</v>
      </c>
      <c r="R34" s="29">
        <v>0</v>
      </c>
      <c r="S34" s="29">
        <v>0</v>
      </c>
      <c r="T34" s="29">
        <f ca="1">ROUND(('TUSD BE'!$AM$15),2)</f>
        <v>6.1</v>
      </c>
      <c r="U34" s="29">
        <v>0</v>
      </c>
      <c r="V34" s="29">
        <v>0</v>
      </c>
    </row>
    <row r="35" spans="12:22" ht="11.25" customHeight="1" x14ac:dyDescent="0.3">
      <c r="L35" s="109"/>
      <c r="M35" s="109"/>
      <c r="N35" s="31" t="s">
        <v>79</v>
      </c>
      <c r="O35" s="31" t="s">
        <v>653</v>
      </c>
      <c r="P35" s="31" t="s">
        <v>653</v>
      </c>
      <c r="Q35" s="29">
        <f ca="1">ROUND(('TUSD BE'!$AM$16+'TUSD BF'!$AM$16+'TUSD CVA'!$AM$16),2)</f>
        <v>5.99</v>
      </c>
      <c r="R35" s="29">
        <v>0</v>
      </c>
      <c r="S35" s="29">
        <v>0</v>
      </c>
      <c r="T35" s="29">
        <f ca="1">ROUND(('TUSD BE'!$AM$16),2)</f>
        <v>12.39</v>
      </c>
      <c r="U35" s="29">
        <v>0</v>
      </c>
      <c r="V35" s="29">
        <v>0</v>
      </c>
    </row>
  </sheetData>
  <mergeCells count="51">
    <mergeCell ref="O5:O7"/>
    <mergeCell ref="O12:O14"/>
    <mergeCell ref="O17:O19"/>
    <mergeCell ref="O22:O24"/>
    <mergeCell ref="O27:O29"/>
    <mergeCell ref="N17:N19"/>
    <mergeCell ref="N22:N24"/>
    <mergeCell ref="N27:N29"/>
    <mergeCell ref="N32:N33"/>
    <mergeCell ref="M5:M7"/>
    <mergeCell ref="M12:M14"/>
    <mergeCell ref="M17:M19"/>
    <mergeCell ref="M22:M24"/>
    <mergeCell ref="M27:M29"/>
    <mergeCell ref="L27:L31"/>
    <mergeCell ref="L32:L33"/>
    <mergeCell ref="L34:L35"/>
    <mergeCell ref="M32:M33"/>
    <mergeCell ref="M34:M35"/>
    <mergeCell ref="B9:B11"/>
    <mergeCell ref="B12:B14"/>
    <mergeCell ref="L1:V1"/>
    <mergeCell ref="L2:L4"/>
    <mergeCell ref="M2:M4"/>
    <mergeCell ref="N2:N4"/>
    <mergeCell ref="O2:O4"/>
    <mergeCell ref="P2:P4"/>
    <mergeCell ref="Q2:S2"/>
    <mergeCell ref="Q3:R3"/>
    <mergeCell ref="T2:V2"/>
    <mergeCell ref="T3:U3"/>
    <mergeCell ref="L5:L11"/>
    <mergeCell ref="L12:L26"/>
    <mergeCell ref="N5:N7"/>
    <mergeCell ref="N12:N14"/>
    <mergeCell ref="C5:C6"/>
    <mergeCell ref="C7:C8"/>
    <mergeCell ref="C9:C11"/>
    <mergeCell ref="C12:C14"/>
    <mergeCell ref="A1:J1"/>
    <mergeCell ref="A2:A4"/>
    <mergeCell ref="B2:B4"/>
    <mergeCell ref="C2:C4"/>
    <mergeCell ref="D2:D4"/>
    <mergeCell ref="E2:G2"/>
    <mergeCell ref="E3:F3"/>
    <mergeCell ref="H2:J2"/>
    <mergeCell ref="H3:I3"/>
    <mergeCell ref="A5:A15"/>
    <mergeCell ref="B5:B6"/>
    <mergeCell ref="B7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BF49-24B0-4F76-82C6-7293E460E37D}">
  <dimension ref="A1:AN225"/>
  <sheetViews>
    <sheetView showGridLines="0" workbookViewId="0">
      <selection sqref="A1:O225 Q1:AJ13"/>
    </sheetView>
  </sheetViews>
  <sheetFormatPr defaultRowHeight="11.25" customHeight="1" x14ac:dyDescent="0.3"/>
  <cols>
    <col min="1" max="1" width="18" style="4" bestFit="1" customWidth="1"/>
    <col min="2" max="2" width="7.6640625" style="4" bestFit="1" customWidth="1"/>
    <col min="3" max="3" width="9.21875" style="4" bestFit="1" customWidth="1"/>
    <col min="4" max="4" width="12.6640625" style="4" bestFit="1" customWidth="1"/>
    <col min="5" max="5" width="23.109375" style="4" bestFit="1" customWidth="1"/>
    <col min="6" max="6" width="12.88671875" style="4" bestFit="1" customWidth="1"/>
    <col min="7" max="8" width="9.5546875" style="4" bestFit="1" customWidth="1"/>
    <col min="9" max="9" width="7.88671875" style="5" bestFit="1" customWidth="1"/>
    <col min="10" max="10" width="9.5546875" style="6" bestFit="1" customWidth="1"/>
    <col min="11" max="11" width="10" style="6" bestFit="1" customWidth="1"/>
    <col min="12" max="12" width="8.77734375" style="6" bestFit="1" customWidth="1"/>
    <col min="13" max="13" width="13.109375" style="6" bestFit="1" customWidth="1"/>
    <col min="14" max="14" width="13.5546875" style="6" bestFit="1" customWidth="1"/>
    <col min="15" max="15" width="12.21875" style="6" bestFit="1" customWidth="1"/>
    <col min="16" max="16" width="5.109375" style="6" bestFit="1" customWidth="1"/>
    <col min="17" max="17" width="9" style="4" bestFit="1" customWidth="1"/>
    <col min="18" max="18" width="17.88671875" style="4" bestFit="1" customWidth="1"/>
    <col min="19" max="19" width="19.21875" style="4" bestFit="1" customWidth="1"/>
    <col min="20" max="20" width="17.109375" style="4" bestFit="1" customWidth="1"/>
    <col min="21" max="21" width="16.44140625" style="4" bestFit="1" customWidth="1"/>
    <col min="22" max="22" width="17.88671875" style="4" bestFit="1" customWidth="1"/>
    <col min="23" max="23" width="15.6640625" style="4" bestFit="1" customWidth="1"/>
    <col min="24" max="24" width="16.109375" style="4" bestFit="1" customWidth="1"/>
    <col min="25" max="25" width="17.5546875" style="4" bestFit="1" customWidth="1"/>
    <col min="26" max="26" width="15.33203125" style="4" bestFit="1" customWidth="1"/>
    <col min="27" max="27" width="16.109375" style="4" bestFit="1" customWidth="1"/>
    <col min="28" max="28" width="17.5546875" style="4" bestFit="1" customWidth="1"/>
    <col min="29" max="29" width="15.33203125" style="4" bestFit="1" customWidth="1"/>
    <col min="30" max="30" width="16.44140625" style="4" bestFit="1" customWidth="1"/>
    <col min="31" max="31" width="20.5546875" style="4" bestFit="1" customWidth="1"/>
    <col min="32" max="32" width="10.88671875" style="4" bestFit="1" customWidth="1"/>
    <col min="33" max="33" width="12.21875" style="4" bestFit="1" customWidth="1"/>
    <col min="34" max="34" width="10.109375" style="4" bestFit="1" customWidth="1"/>
    <col min="35" max="35" width="11.21875" style="4" bestFit="1" customWidth="1"/>
    <col min="36" max="36" width="15.33203125" style="4" bestFit="1" customWidth="1"/>
    <col min="37" max="37" width="8.88671875" style="4"/>
    <col min="38" max="38" width="8" style="4" bestFit="1" customWidth="1"/>
    <col min="39" max="39" width="5.109375" style="4" bestFit="1" customWidth="1"/>
    <col min="40" max="40" width="14" style="4" bestFit="1" customWidth="1"/>
    <col min="41" max="16384" width="8.88671875" style="4"/>
  </cols>
  <sheetData>
    <row r="1" spans="1:40" s="1" customFormat="1" ht="11.25" customHeight="1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53" t="s">
        <v>8</v>
      </c>
      <c r="J1" s="30" t="s">
        <v>616</v>
      </c>
      <c r="K1" s="30" t="s">
        <v>617</v>
      </c>
      <c r="L1" s="30" t="s">
        <v>618</v>
      </c>
      <c r="M1" s="30" t="s">
        <v>619</v>
      </c>
      <c r="N1" s="30" t="s">
        <v>620</v>
      </c>
      <c r="O1" s="30" t="s">
        <v>621</v>
      </c>
      <c r="P1" s="7"/>
      <c r="Q1" s="101" t="s">
        <v>622</v>
      </c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L1" s="34" t="s">
        <v>643</v>
      </c>
      <c r="AM1" s="34" t="s">
        <v>55</v>
      </c>
      <c r="AN1" s="34" t="s">
        <v>644</v>
      </c>
    </row>
    <row r="2" spans="1:40" ht="11.25" customHeight="1" x14ac:dyDescent="0.2">
      <c r="A2" s="35" t="s">
        <v>21</v>
      </c>
      <c r="B2" s="35" t="s">
        <v>33</v>
      </c>
      <c r="C2" s="35" t="s">
        <v>34</v>
      </c>
      <c r="D2" s="35" t="s">
        <v>32</v>
      </c>
      <c r="E2" s="35" t="s">
        <v>25</v>
      </c>
      <c r="F2" s="35" t="s">
        <v>25</v>
      </c>
      <c r="G2" s="35" t="s">
        <v>25</v>
      </c>
      <c r="H2" s="35" t="s">
        <v>36</v>
      </c>
      <c r="I2" s="54">
        <v>44440</v>
      </c>
      <c r="J2" s="55">
        <f ca="1">EFEITO!$J$2*EFEITO!$Y$2</f>
        <v>11485.418362761675</v>
      </c>
      <c r="K2" s="55">
        <f ca="1">EFEITO!$L$2*EFEITO!$Z$2</f>
        <v>18853.394896796228</v>
      </c>
      <c r="L2" s="55">
        <f>EFEITO!$N$2*EFEITO!$AA$2</f>
        <v>45735.084694034515</v>
      </c>
      <c r="M2" s="55">
        <f ca="1">$J$2-EFEITO!$K$2*EFEITO!$Y$2</f>
        <v>0</v>
      </c>
      <c r="N2" s="55">
        <f ca="1">$K$2-EFEITO!$M$2*EFEITO!$Z$2</f>
        <v>0</v>
      </c>
      <c r="O2" s="55">
        <f>$L$2-EFEITO!$O$2*EFEITO!$AA$2</f>
        <v>0</v>
      </c>
      <c r="P2" s="39"/>
      <c r="Q2" s="28" t="s">
        <v>58</v>
      </c>
      <c r="R2" s="28" t="s">
        <v>624</v>
      </c>
      <c r="S2" s="28" t="s">
        <v>625</v>
      </c>
      <c r="T2" s="28" t="s">
        <v>626</v>
      </c>
      <c r="U2" s="28" t="s">
        <v>627</v>
      </c>
      <c r="V2" s="28" t="s">
        <v>628</v>
      </c>
      <c r="W2" s="28" t="s">
        <v>629</v>
      </c>
      <c r="X2" s="56" t="s">
        <v>630</v>
      </c>
      <c r="Y2" s="56" t="s">
        <v>631</v>
      </c>
      <c r="Z2" s="56" t="s">
        <v>632</v>
      </c>
      <c r="AA2" s="56" t="s">
        <v>633</v>
      </c>
      <c r="AB2" s="56" t="s">
        <v>634</v>
      </c>
      <c r="AC2" s="56" t="s">
        <v>635</v>
      </c>
      <c r="AD2" s="56" t="s">
        <v>636</v>
      </c>
      <c r="AE2" s="56" t="s">
        <v>637</v>
      </c>
      <c r="AF2" s="56" t="s">
        <v>638</v>
      </c>
      <c r="AG2" s="56" t="s">
        <v>639</v>
      </c>
      <c r="AH2" s="56" t="s">
        <v>640</v>
      </c>
      <c r="AI2" s="56" t="s">
        <v>641</v>
      </c>
      <c r="AJ2" s="56" t="s">
        <v>642</v>
      </c>
      <c r="AL2" s="35"/>
      <c r="AM2" s="35"/>
      <c r="AN2" s="35"/>
    </row>
    <row r="3" spans="1:40" ht="11.25" customHeight="1" x14ac:dyDescent="0.2">
      <c r="A3" s="35" t="s">
        <v>21</v>
      </c>
      <c r="B3" s="35" t="s">
        <v>33</v>
      </c>
      <c r="C3" s="35" t="s">
        <v>34</v>
      </c>
      <c r="D3" s="35" t="s">
        <v>32</v>
      </c>
      <c r="E3" s="35" t="s">
        <v>25</v>
      </c>
      <c r="F3" s="35" t="s">
        <v>25</v>
      </c>
      <c r="G3" s="35" t="s">
        <v>25</v>
      </c>
      <c r="H3" s="35" t="s">
        <v>36</v>
      </c>
      <c r="I3" s="54">
        <v>44470</v>
      </c>
      <c r="J3" s="55">
        <f ca="1">EFEITO!$J$3*EFEITO!$Y$3</f>
        <v>11824.888856242314</v>
      </c>
      <c r="K3" s="55">
        <f ca="1">EFEITO!$L$3*EFEITO!$Z$3</f>
        <v>18329.229795983294</v>
      </c>
      <c r="L3" s="55">
        <f>EFEITO!$N$3*EFEITO!$AA$3</f>
        <v>44463.550553336572</v>
      </c>
      <c r="M3" s="55">
        <f ca="1">$J$3-EFEITO!$K$3*EFEITO!$Y$3</f>
        <v>0</v>
      </c>
      <c r="N3" s="55">
        <f ca="1">$K$3-EFEITO!$M$3*EFEITO!$Z$3</f>
        <v>0</v>
      </c>
      <c r="O3" s="55">
        <f>$L$3-EFEITO!$O$3*EFEITO!$AA$3</f>
        <v>0</v>
      </c>
      <c r="P3" s="39"/>
      <c r="Q3" s="55" t="s">
        <v>623</v>
      </c>
      <c r="R3" s="55">
        <f>SUMIF($B$2:$B$225,$Q$3,$J$2:$J$225)</f>
        <v>0</v>
      </c>
      <c r="S3" s="55">
        <f>SUMIF($B$2:$B$225,$Q$3,$K$2:$K$225)</f>
        <v>0</v>
      </c>
      <c r="T3" s="55">
        <f>SUMIF($B$2:$B$225,$Q$3,$L$2:$L$225)</f>
        <v>0</v>
      </c>
      <c r="U3" s="55">
        <f>SUMIF($B$2:$B$225,$Q$3,$M$2:$M$225)</f>
        <v>0</v>
      </c>
      <c r="V3" s="55">
        <f>SUMIF($B$2:$B$225,$Q$3,$N$2:$N$225)</f>
        <v>0</v>
      </c>
      <c r="W3" s="55">
        <f>SUMIF($B$2:$B$225,$Q$3,$O$2:$O$225)</f>
        <v>0</v>
      </c>
      <c r="X3" s="36">
        <f>$R$3-$U$3</f>
        <v>0</v>
      </c>
      <c r="Y3" s="36">
        <f>$S$3-$V$3</f>
        <v>0</v>
      </c>
      <c r="Z3" s="36">
        <f>$T$3-$W$3</f>
        <v>0</v>
      </c>
      <c r="AA3" s="36">
        <f>SUMIF(EFEITO!$B$2:$B$225,$Q$3,EFEITO!$AE$2:$AE$225)</f>
        <v>0</v>
      </c>
      <c r="AB3" s="36">
        <f>SUMIF(EFEITO!$B$2:$B$225,$Q$3,EFEITO!$AF$2:$AF$225)</f>
        <v>0</v>
      </c>
      <c r="AC3" s="36">
        <f>SUMIF(EFEITO!$B$2:$B$225,$Q$3,EFEITO!$AG$2:$AH$225)</f>
        <v>0</v>
      </c>
      <c r="AD3" s="36">
        <f>SUMIF(SUBSIDIO!$B$2:$B$225,$Q$3,SUBSIDIO!$AD$2:$AD$225)</f>
        <v>0</v>
      </c>
      <c r="AE3" s="36">
        <f>SUMIF(SUBSIDIO!$B$2:$B$225,$Q$3,SUBSIDIO!$AE$2:$AE$225)</f>
        <v>0</v>
      </c>
      <c r="AF3" s="36" t="str">
        <f>IF(ABS($X$3-$AA$3)&lt;0.01,"OK","ERRO")</f>
        <v>OK</v>
      </c>
      <c r="AG3" s="36" t="str">
        <f>IF(ABS($Y$3-$AB$3)&lt;0.01,"OK","ERRO")</f>
        <v>OK</v>
      </c>
      <c r="AH3" s="36" t="str">
        <f>IF(ABS($Z$3-$AC$3)&lt;0.01,"OK","ERRO")</f>
        <v>OK</v>
      </c>
      <c r="AI3" s="36" t="str">
        <f>IF(ABS($U$3-$AD$3)&lt;0.01,"OK","ERRO")</f>
        <v>OK</v>
      </c>
      <c r="AJ3" s="36" t="str">
        <f>IF(ABS(($V$3+$W$3)-$AE$3)&lt;0.01,"OK","ERRO")</f>
        <v>OK</v>
      </c>
    </row>
    <row r="4" spans="1:40" ht="11.25" customHeight="1" x14ac:dyDescent="0.2">
      <c r="A4" s="35" t="s">
        <v>21</v>
      </c>
      <c r="B4" s="35" t="s">
        <v>33</v>
      </c>
      <c r="C4" s="35" t="s">
        <v>34</v>
      </c>
      <c r="D4" s="35" t="s">
        <v>32</v>
      </c>
      <c r="E4" s="35" t="s">
        <v>25</v>
      </c>
      <c r="F4" s="35" t="s">
        <v>25</v>
      </c>
      <c r="G4" s="35" t="s">
        <v>25</v>
      </c>
      <c r="H4" s="35" t="s">
        <v>36</v>
      </c>
      <c r="I4" s="54">
        <v>44501</v>
      </c>
      <c r="J4" s="55">
        <f ca="1">EFEITO!$J$4*EFEITO!$Y$4</f>
        <v>11523.137306481745</v>
      </c>
      <c r="K4" s="55">
        <f ca="1">EFEITO!$L$4*EFEITO!$Z$4</f>
        <v>18657.461561536831</v>
      </c>
      <c r="L4" s="55">
        <f>EFEITO!$N$4*EFEITO!$AA$4</f>
        <v>45259.78421199794</v>
      </c>
      <c r="M4" s="55">
        <f ca="1">$J$4-EFEITO!$K$4*EFEITO!$Y$4</f>
        <v>0</v>
      </c>
      <c r="N4" s="55">
        <f ca="1">$K$4-EFEITO!$M$4*EFEITO!$Z$4</f>
        <v>0</v>
      </c>
      <c r="O4" s="55">
        <f>$L$4-EFEITO!$O$4*EFEITO!$AA$4</f>
        <v>0</v>
      </c>
      <c r="P4" s="39"/>
      <c r="Q4" s="55" t="s">
        <v>500</v>
      </c>
      <c r="R4" s="55">
        <f>SUMIF($B$2:$B$225,$Q$4,$J$2:$J$225)</f>
        <v>0</v>
      </c>
      <c r="S4" s="55">
        <f>SUMIF($B$2:$B$225,$Q$4,$K$2:$K$225)</f>
        <v>0</v>
      </c>
      <c r="T4" s="55">
        <f>SUMIF($B$2:$B$225,$Q$4,$L$2:$L$225)</f>
        <v>0</v>
      </c>
      <c r="U4" s="55">
        <f>SUMIF($B$2:$B$225,$Q$4,$M$2:$M$225)</f>
        <v>0</v>
      </c>
      <c r="V4" s="55">
        <f>SUMIF($B$2:$B$225,$Q$4,$N$2:$N$225)</f>
        <v>0</v>
      </c>
      <c r="W4" s="55">
        <f>SUMIF($B$2:$B$225,$Q$4,$O$2:$O$225)</f>
        <v>0</v>
      </c>
      <c r="X4" s="36">
        <f>$R$4-$U$4</f>
        <v>0</v>
      </c>
      <c r="Y4" s="36">
        <f>$S$4-$V$4</f>
        <v>0</v>
      </c>
      <c r="Z4" s="36">
        <f>$T$4-$W$4</f>
        <v>0</v>
      </c>
      <c r="AA4" s="36">
        <f>SUMIF(EFEITO!$B$2:$B$225,$Q$4,EFEITO!$AE$2:$AE$225)</f>
        <v>0</v>
      </c>
      <c r="AB4" s="36">
        <f>SUMIF(EFEITO!$B$2:$B$225,$Q$4,EFEITO!$AF$2:$AF$225)</f>
        <v>0</v>
      </c>
      <c r="AC4" s="36">
        <f>SUMIF(EFEITO!$B$2:$B$225,$Q$4,EFEITO!$AG$2:$AH$225)</f>
        <v>0</v>
      </c>
      <c r="AD4" s="36">
        <f>SUMIF(SUBSIDIO!$B$2:$B$225,$Q$4,SUBSIDIO!$AD$2:$AD$225)</f>
        <v>0</v>
      </c>
      <c r="AE4" s="36">
        <f>SUMIF(SUBSIDIO!$B$2:$B$225,$Q$4,SUBSIDIO!$AE$2:$AE$225)</f>
        <v>0</v>
      </c>
      <c r="AF4" s="36" t="str">
        <f>IF(ABS($X$4-$AA$4)&lt;0.01,"OK","ERRO")</f>
        <v>OK</v>
      </c>
      <c r="AG4" s="36" t="str">
        <f>IF(ABS($Y$4-$AB$4)&lt;0.01,"OK","ERRO")</f>
        <v>OK</v>
      </c>
      <c r="AH4" s="36" t="str">
        <f>IF(ABS($Z$4-$AC$4)&lt;0.01,"OK","ERRO")</f>
        <v>OK</v>
      </c>
      <c r="AI4" s="36" t="str">
        <f>IF(ABS($U$4-$AD$4)&lt;0.01,"OK","ERRO")</f>
        <v>OK</v>
      </c>
      <c r="AJ4" s="36" t="str">
        <f>IF(ABS(($V$4+$W$4)-$AE$4)&lt;0.01,"OK","ERRO")</f>
        <v>OK</v>
      </c>
    </row>
    <row r="5" spans="1:40" ht="11.25" customHeight="1" x14ac:dyDescent="0.2">
      <c r="A5" s="35" t="s">
        <v>21</v>
      </c>
      <c r="B5" s="35" t="s">
        <v>33</v>
      </c>
      <c r="C5" s="35" t="s">
        <v>34</v>
      </c>
      <c r="D5" s="35" t="s">
        <v>32</v>
      </c>
      <c r="E5" s="35" t="s">
        <v>25</v>
      </c>
      <c r="F5" s="35" t="s">
        <v>25</v>
      </c>
      <c r="G5" s="35" t="s">
        <v>25</v>
      </c>
      <c r="H5" s="35" t="s">
        <v>36</v>
      </c>
      <c r="I5" s="54">
        <v>44531</v>
      </c>
      <c r="J5" s="55">
        <f ca="1">EFEITO!$J$5*EFEITO!$Y$5</f>
        <v>14125.744423166658</v>
      </c>
      <c r="K5" s="55">
        <f ca="1">EFEITO!$L$5*EFEITO!$Z$5</f>
        <v>20947.312416213259</v>
      </c>
      <c r="L5" s="55">
        <f>EFEITO!$N$5*EFEITO!$AA$5</f>
        <v>50814.567493661969</v>
      </c>
      <c r="M5" s="55">
        <f ca="1">$J$5-EFEITO!$K$5*EFEITO!$Y$5</f>
        <v>0</v>
      </c>
      <c r="N5" s="55">
        <f ca="1">$K$5-EFEITO!$M$5*EFEITO!$Z$5</f>
        <v>0</v>
      </c>
      <c r="O5" s="55">
        <f>$L$5-EFEITO!$O$5*EFEITO!$AA$5</f>
        <v>0</v>
      </c>
      <c r="P5" s="39"/>
      <c r="Q5" s="55" t="s">
        <v>501</v>
      </c>
      <c r="R5" s="55">
        <f>SUMIF($B$2:$B$225,$Q$5,$J$2:$J$225)</f>
        <v>0</v>
      </c>
      <c r="S5" s="55">
        <f>SUMIF($B$2:$B$225,$Q$5,$K$2:$K$225)</f>
        <v>0</v>
      </c>
      <c r="T5" s="55">
        <f>SUMIF($B$2:$B$225,$Q$5,$L$2:$L$225)</f>
        <v>0</v>
      </c>
      <c r="U5" s="55">
        <f>SUMIF($B$2:$B$225,$Q$5,$M$2:$M$225)</f>
        <v>0</v>
      </c>
      <c r="V5" s="55">
        <f>SUMIF($B$2:$B$225,$Q$5,$N$2:$N$225)</f>
        <v>0</v>
      </c>
      <c r="W5" s="55">
        <f>SUMIF($B$2:$B$225,$Q$5,$O$2:$O$225)</f>
        <v>0</v>
      </c>
      <c r="X5" s="36">
        <f>$R$5-$U$5</f>
        <v>0</v>
      </c>
      <c r="Y5" s="36">
        <f>$S$5-$V$5</f>
        <v>0</v>
      </c>
      <c r="Z5" s="36">
        <f>$T$5-$W$5</f>
        <v>0</v>
      </c>
      <c r="AA5" s="36">
        <f>SUMIF(EFEITO!$B$2:$B$225,$Q$5,EFEITO!$AE$2:$AE$225)</f>
        <v>0</v>
      </c>
      <c r="AB5" s="36">
        <f>SUMIF(EFEITO!$B$2:$B$225,$Q$5,EFEITO!$AF$2:$AF$225)</f>
        <v>0</v>
      </c>
      <c r="AC5" s="36">
        <f>SUMIF(EFEITO!$B$2:$B$225,$Q$5,EFEITO!$AG$2:$AH$225)</f>
        <v>0</v>
      </c>
      <c r="AD5" s="36">
        <f>SUMIF(SUBSIDIO!$B$2:$B$225,$Q$5,SUBSIDIO!$AD$2:$AD$225)</f>
        <v>0</v>
      </c>
      <c r="AE5" s="36">
        <f>SUMIF(SUBSIDIO!$B$2:$B$225,$Q$5,SUBSIDIO!$AE$2:$AE$225)</f>
        <v>0</v>
      </c>
      <c r="AF5" s="36" t="str">
        <f>IF(ABS($X$5-$AA$5)&lt;0.01,"OK","ERRO")</f>
        <v>OK</v>
      </c>
      <c r="AG5" s="36" t="str">
        <f>IF(ABS($Y$5-$AB$5)&lt;0.01,"OK","ERRO")</f>
        <v>OK</v>
      </c>
      <c r="AH5" s="36" t="str">
        <f>IF(ABS($Z$5-$AC$5)&lt;0.01,"OK","ERRO")</f>
        <v>OK</v>
      </c>
      <c r="AI5" s="36" t="str">
        <f>IF(ABS($U$5-$AD$5)&lt;0.01,"OK","ERRO")</f>
        <v>OK</v>
      </c>
      <c r="AJ5" s="36" t="str">
        <f>IF(ABS(($V$5+$W$5)-$AE$5)&lt;0.01,"OK","ERRO")</f>
        <v>OK</v>
      </c>
    </row>
    <row r="6" spans="1:40" ht="11.25" customHeight="1" x14ac:dyDescent="0.2">
      <c r="A6" s="35" t="s">
        <v>21</v>
      </c>
      <c r="B6" s="35" t="s">
        <v>33</v>
      </c>
      <c r="C6" s="35" t="s">
        <v>34</v>
      </c>
      <c r="D6" s="35" t="s">
        <v>32</v>
      </c>
      <c r="E6" s="35" t="s">
        <v>25</v>
      </c>
      <c r="F6" s="35" t="s">
        <v>25</v>
      </c>
      <c r="G6" s="35" t="s">
        <v>25</v>
      </c>
      <c r="H6" s="35" t="s">
        <v>36</v>
      </c>
      <c r="I6" s="54">
        <v>44562</v>
      </c>
      <c r="J6" s="55">
        <f ca="1">EFEITO!$J$6*EFEITO!$Y$6</f>
        <v>13484.522379925447</v>
      </c>
      <c r="K6" s="55">
        <f ca="1">EFEITO!$L$6*EFEITO!$Z$6</f>
        <v>21523.866598269138</v>
      </c>
      <c r="L6" s="55">
        <f>EFEITO!$N$6*EFEITO!$AA$6</f>
        <v>52213.188510798056</v>
      </c>
      <c r="M6" s="55">
        <f ca="1">$J$6-EFEITO!$K$6*EFEITO!$Y$6</f>
        <v>0</v>
      </c>
      <c r="N6" s="55">
        <f ca="1">$K$6-EFEITO!$M$6*EFEITO!$Z$6</f>
        <v>0</v>
      </c>
      <c r="O6" s="55">
        <f>$L$6-EFEITO!$O$6*EFEITO!$AA$6</f>
        <v>0</v>
      </c>
      <c r="P6" s="39"/>
      <c r="Q6" s="55" t="s">
        <v>502</v>
      </c>
      <c r="R6" s="55">
        <f>SUMIF($B$2:$B$225,$Q$6,$J$2:$J$225)</f>
        <v>0</v>
      </c>
      <c r="S6" s="55">
        <f>SUMIF($B$2:$B$225,$Q$6,$K$2:$K$225)</f>
        <v>0</v>
      </c>
      <c r="T6" s="55">
        <f>SUMIF($B$2:$B$225,$Q$6,$L$2:$L$225)</f>
        <v>0</v>
      </c>
      <c r="U6" s="55">
        <f>SUMIF($B$2:$B$225,$Q$6,$M$2:$M$225)</f>
        <v>0</v>
      </c>
      <c r="V6" s="55">
        <f>SUMIF($B$2:$B$225,$Q$6,$N$2:$N$225)</f>
        <v>0</v>
      </c>
      <c r="W6" s="55">
        <f>SUMIF($B$2:$B$225,$Q$6,$O$2:$O$225)</f>
        <v>0</v>
      </c>
      <c r="X6" s="36">
        <f>$R$6-$U$6</f>
        <v>0</v>
      </c>
      <c r="Y6" s="36">
        <f>$S$6-$V$6</f>
        <v>0</v>
      </c>
      <c r="Z6" s="36">
        <f>$T$6-$W$6</f>
        <v>0</v>
      </c>
      <c r="AA6" s="36">
        <f>SUMIF(EFEITO!$B$2:$B$225,$Q$6,EFEITO!$AE$2:$AE$225)</f>
        <v>0</v>
      </c>
      <c r="AB6" s="36">
        <f>SUMIF(EFEITO!$B$2:$B$225,$Q$6,EFEITO!$AF$2:$AF$225)</f>
        <v>0</v>
      </c>
      <c r="AC6" s="36">
        <f>SUMIF(EFEITO!$B$2:$B$225,$Q$6,EFEITO!$AG$2:$AH$225)</f>
        <v>0</v>
      </c>
      <c r="AD6" s="36">
        <f>SUMIF(SUBSIDIO!$B$2:$B$225,$Q$6,SUBSIDIO!$AD$2:$AD$225)</f>
        <v>0</v>
      </c>
      <c r="AE6" s="36">
        <f>SUMIF(SUBSIDIO!$B$2:$B$225,$Q$6,SUBSIDIO!$AE$2:$AE$225)</f>
        <v>0</v>
      </c>
      <c r="AF6" s="36" t="str">
        <f>IF(ABS($X$6-$AA$6)&lt;0.01,"OK","ERRO")</f>
        <v>OK</v>
      </c>
      <c r="AG6" s="36" t="str">
        <f>IF(ABS($Y$6-$AB$6)&lt;0.01,"OK","ERRO")</f>
        <v>OK</v>
      </c>
      <c r="AH6" s="36" t="str">
        <f>IF(ABS($Z$6-$AC$6)&lt;0.01,"OK","ERRO")</f>
        <v>OK</v>
      </c>
      <c r="AI6" s="36" t="str">
        <f>IF(ABS($U$6-$AD$6)&lt;0.01,"OK","ERRO")</f>
        <v>OK</v>
      </c>
      <c r="AJ6" s="36" t="str">
        <f>IF(ABS(($V$6+$W$6)-$AE$6)&lt;0.01,"OK","ERRO")</f>
        <v>OK</v>
      </c>
    </row>
    <row r="7" spans="1:40" ht="11.25" customHeight="1" x14ac:dyDescent="0.2">
      <c r="A7" s="35" t="s">
        <v>21</v>
      </c>
      <c r="B7" s="35" t="s">
        <v>33</v>
      </c>
      <c r="C7" s="35" t="s">
        <v>34</v>
      </c>
      <c r="D7" s="35" t="s">
        <v>32</v>
      </c>
      <c r="E7" s="35" t="s">
        <v>25</v>
      </c>
      <c r="F7" s="35" t="s">
        <v>25</v>
      </c>
      <c r="G7" s="35" t="s">
        <v>25</v>
      </c>
      <c r="H7" s="35" t="s">
        <v>36</v>
      </c>
      <c r="I7" s="54">
        <v>44593</v>
      </c>
      <c r="J7" s="55">
        <f ca="1">EFEITO!$J$7*EFEITO!$Y$7</f>
        <v>13484.522379925447</v>
      </c>
      <c r="K7" s="55">
        <f ca="1">EFEITO!$L$7*EFEITO!$Z$7</f>
        <v>16603.132998800775</v>
      </c>
      <c r="L7" s="55">
        <f>EFEITO!$N$7*EFEITO!$AA$7</f>
        <v>40276.337394041897</v>
      </c>
      <c r="M7" s="55">
        <f ca="1">$J$7-EFEITO!$K$7*EFEITO!$Y$7</f>
        <v>0</v>
      </c>
      <c r="N7" s="55">
        <f ca="1">$K$7-EFEITO!$M$7*EFEITO!$Z$7</f>
        <v>0</v>
      </c>
      <c r="O7" s="55">
        <f>$L$7-EFEITO!$O$7*EFEITO!$AA$7</f>
        <v>0</v>
      </c>
      <c r="P7" s="39"/>
      <c r="Q7" s="55" t="s">
        <v>33</v>
      </c>
      <c r="R7" s="55">
        <f ca="1">SUMIF($B$2:$B$225,$Q$7,$J$2:$J$225)</f>
        <v>1288837.2130124238</v>
      </c>
      <c r="S7" s="55">
        <f ca="1">SUMIF($B$2:$B$225,$Q$7,$K$2:$K$225)</f>
        <v>1753439.0463743997</v>
      </c>
      <c r="T7" s="55">
        <f>SUMIF($B$2:$B$225,$Q$7,$L$2:$L$225)</f>
        <v>2496849.2463276926</v>
      </c>
      <c r="U7" s="55">
        <f ca="1">SUMIF($B$2:$B$225,$Q$7,$M$2:$M$225)</f>
        <v>0</v>
      </c>
      <c r="V7" s="55">
        <f ca="1">SUMIF($B$2:$B$225,$Q$7,$N$2:$N$225)</f>
        <v>0</v>
      </c>
      <c r="W7" s="55">
        <f>SUMIF($B$2:$B$225,$Q$7,$O$2:$O$225)</f>
        <v>0</v>
      </c>
      <c r="X7" s="36">
        <f ca="1">$R$7-$U$7</f>
        <v>1288837.2130124238</v>
      </c>
      <c r="Y7" s="36">
        <f ca="1">$S$7-$V$7</f>
        <v>1753439.0463743997</v>
      </c>
      <c r="Z7" s="36">
        <f>$T$7-$W$7</f>
        <v>2496849.2463276926</v>
      </c>
      <c r="AA7" s="36">
        <f ca="1">SUMIF(EFEITO!$B$2:$B$225,$Q$7,EFEITO!$AE$2:$AE$225)</f>
        <v>1288837.2130124238</v>
      </c>
      <c r="AB7" s="36">
        <f ca="1">SUMIF(EFEITO!$B$2:$B$225,$Q$7,EFEITO!$AF$2:$AF$225)</f>
        <v>1753439.0463743997</v>
      </c>
      <c r="AC7" s="36">
        <f>SUMIF(EFEITO!$B$2:$B$225,$Q$7,EFEITO!$AG$2:$AH$225)</f>
        <v>2496849.2463276926</v>
      </c>
      <c r="AD7" s="36">
        <f>SUMIF(SUBSIDIO!$B$2:$B$225,$Q$7,SUBSIDIO!$AD$2:$AD$225)</f>
        <v>0</v>
      </c>
      <c r="AE7" s="36">
        <f>SUMIF(SUBSIDIO!$B$2:$B$225,$Q$7,SUBSIDIO!$AE$2:$AE$225)</f>
        <v>0</v>
      </c>
      <c r="AF7" s="36" t="str">
        <f ca="1">IF(ABS($X$7-$AA$7)&lt;0.01,"OK","ERRO")</f>
        <v>OK</v>
      </c>
      <c r="AG7" s="36" t="str">
        <f ca="1">IF(ABS($Y$7-$AB$7)&lt;0.01,"OK","ERRO")</f>
        <v>OK</v>
      </c>
      <c r="AH7" s="36" t="str">
        <f>IF(ABS($Z$7-$AC$7)&lt;0.01,"OK","ERRO")</f>
        <v>OK</v>
      </c>
      <c r="AI7" s="36" t="str">
        <f ca="1">IF(ABS($U$7-$AD$7)&lt;0.01,"OK","ERRO")</f>
        <v>OK</v>
      </c>
      <c r="AJ7" s="36" t="str">
        <f ca="1">IF(ABS(($V$7+$W$7)-$AE$7)&lt;0.01,"OK","ERRO")</f>
        <v>OK</v>
      </c>
    </row>
    <row r="8" spans="1:40" ht="11.25" customHeight="1" x14ac:dyDescent="0.2">
      <c r="A8" s="35" t="s">
        <v>21</v>
      </c>
      <c r="B8" s="35" t="s">
        <v>33</v>
      </c>
      <c r="C8" s="35" t="s">
        <v>34</v>
      </c>
      <c r="D8" s="35" t="s">
        <v>32</v>
      </c>
      <c r="E8" s="35" t="s">
        <v>25</v>
      </c>
      <c r="F8" s="35" t="s">
        <v>25</v>
      </c>
      <c r="G8" s="35" t="s">
        <v>25</v>
      </c>
      <c r="H8" s="35" t="s">
        <v>36</v>
      </c>
      <c r="I8" s="54">
        <v>44621</v>
      </c>
      <c r="J8" s="55">
        <f ca="1">EFEITO!$J$8*EFEITO!$Y$8</f>
        <v>13710.836042245874</v>
      </c>
      <c r="K8" s="55">
        <f ca="1">EFEITO!$L$8*EFEITO!$Z$8</f>
        <v>22950.806198546037</v>
      </c>
      <c r="L8" s="55">
        <f>EFEITO!$N$8*EFEITO!$AA$8</f>
        <v>55674.697900972962</v>
      </c>
      <c r="M8" s="55">
        <f ca="1">$J$8-EFEITO!$K$8*EFEITO!$Y$8</f>
        <v>0</v>
      </c>
      <c r="N8" s="55">
        <f ca="1">$K$8-EFEITO!$M$8*EFEITO!$Z$8</f>
        <v>0</v>
      </c>
      <c r="O8" s="55">
        <f>$L$8-EFEITO!$O$8*EFEITO!$AA$8</f>
        <v>0</v>
      </c>
      <c r="P8" s="39"/>
      <c r="Q8" s="55" t="s">
        <v>503</v>
      </c>
      <c r="R8" s="55">
        <f>SUMIF($B$2:$B$225,$Q$8,$J$2:$J$225)</f>
        <v>0</v>
      </c>
      <c r="S8" s="55">
        <f>SUMIF($B$2:$B$225,$Q$8,$K$2:$K$225)</f>
        <v>0</v>
      </c>
      <c r="T8" s="55">
        <f>SUMIF($B$2:$B$225,$Q$8,$L$2:$L$225)</f>
        <v>0</v>
      </c>
      <c r="U8" s="55">
        <f>SUMIF($B$2:$B$225,$Q$8,$M$2:$M$225)</f>
        <v>0</v>
      </c>
      <c r="V8" s="55">
        <f>SUMIF($B$2:$B$225,$Q$8,$N$2:$N$225)</f>
        <v>0</v>
      </c>
      <c r="W8" s="55">
        <f>SUMIF($B$2:$B$225,$Q$8,$O$2:$O$225)</f>
        <v>0</v>
      </c>
      <c r="X8" s="36">
        <f>$R$8-$U$8</f>
        <v>0</v>
      </c>
      <c r="Y8" s="36">
        <f>$S$8-$V$8</f>
        <v>0</v>
      </c>
      <c r="Z8" s="36">
        <f>$T$8-$W$8</f>
        <v>0</v>
      </c>
      <c r="AA8" s="36">
        <f>SUMIF(EFEITO!$B$2:$B$225,$Q$8,EFEITO!$AE$2:$AE$225)</f>
        <v>0</v>
      </c>
      <c r="AB8" s="36">
        <f>SUMIF(EFEITO!$B$2:$B$225,$Q$8,EFEITO!$AF$2:$AF$225)</f>
        <v>0</v>
      </c>
      <c r="AC8" s="36">
        <f>SUMIF(EFEITO!$B$2:$B$225,$Q$8,EFEITO!$AG$2:$AH$225)</f>
        <v>0</v>
      </c>
      <c r="AD8" s="36">
        <f>SUMIF(SUBSIDIO!$B$2:$B$225,$Q$8,SUBSIDIO!$AD$2:$AD$225)</f>
        <v>0</v>
      </c>
      <c r="AE8" s="36">
        <f>SUMIF(SUBSIDIO!$B$2:$B$225,$Q$8,SUBSIDIO!$AE$2:$AE$225)</f>
        <v>0</v>
      </c>
      <c r="AF8" s="36" t="str">
        <f>IF(ABS($X$8-$AA$8)&lt;0.01,"OK","ERRO")</f>
        <v>OK</v>
      </c>
      <c r="AG8" s="36" t="str">
        <f>IF(ABS($Y$8-$AB$8)&lt;0.01,"OK","ERRO")</f>
        <v>OK</v>
      </c>
      <c r="AH8" s="36" t="str">
        <f>IF(ABS($Z$8-$AC$8)&lt;0.01,"OK","ERRO")</f>
        <v>OK</v>
      </c>
      <c r="AI8" s="36" t="str">
        <f>IF(ABS($U$8-$AD$8)&lt;0.01,"OK","ERRO")</f>
        <v>OK</v>
      </c>
      <c r="AJ8" s="36" t="str">
        <f>IF(ABS(($V$8+$W$8)-$AE$8)&lt;0.01,"OK","ERRO")</f>
        <v>OK</v>
      </c>
    </row>
    <row r="9" spans="1:40" ht="11.25" customHeight="1" x14ac:dyDescent="0.2">
      <c r="A9" s="35" t="s">
        <v>21</v>
      </c>
      <c r="B9" s="35" t="s">
        <v>33</v>
      </c>
      <c r="C9" s="35" t="s">
        <v>34</v>
      </c>
      <c r="D9" s="35" t="s">
        <v>32</v>
      </c>
      <c r="E9" s="35" t="s">
        <v>25</v>
      </c>
      <c r="F9" s="35" t="s">
        <v>25</v>
      </c>
      <c r="G9" s="35" t="s">
        <v>25</v>
      </c>
      <c r="H9" s="35" t="s">
        <v>36</v>
      </c>
      <c r="I9" s="54">
        <v>44652</v>
      </c>
      <c r="J9" s="55">
        <f ca="1">EFEITO!$J$9*EFEITO!$Y$9</f>
        <v>13484.522379925447</v>
      </c>
      <c r="K9" s="55">
        <f ca="1">EFEITO!$L$9*EFEITO!$Z$9</f>
        <v>21072.845066381782</v>
      </c>
      <c r="L9" s="55">
        <f>EFEITO!$N$9*EFEITO!$AA$9</f>
        <v>51119.088054481479</v>
      </c>
      <c r="M9" s="55">
        <f ca="1">$J$9-EFEITO!$K$9*EFEITO!$Y$9</f>
        <v>0</v>
      </c>
      <c r="N9" s="55">
        <f ca="1">$K$9-EFEITO!$M$9*EFEITO!$Z$9</f>
        <v>0</v>
      </c>
      <c r="O9" s="55">
        <f>$L$9-EFEITO!$O$9*EFEITO!$AA$9</f>
        <v>0</v>
      </c>
      <c r="P9" s="39"/>
      <c r="Q9" s="55" t="s">
        <v>22</v>
      </c>
      <c r="R9" s="55">
        <f>SUMIF($B$2:$B$225,$Q$9,$J$2:$J$225)</f>
        <v>0</v>
      </c>
      <c r="S9" s="55">
        <f ca="1">SUMIF($B$2:$B$225,$Q$9,$K$2:$K$225)</f>
        <v>138346.49394945716</v>
      </c>
      <c r="T9" s="55">
        <f>SUMIF($B$2:$B$225,$Q$9,$L$2:$L$225)</f>
        <v>99557.37493006594</v>
      </c>
      <c r="U9" s="55">
        <f>SUMIF($B$2:$B$225,$Q$9,$M$2:$M$225)</f>
        <v>0</v>
      </c>
      <c r="V9" s="55">
        <f ca="1">SUMIF($B$2:$B$225,$Q$9,$N$2:$N$225)</f>
        <v>824.30840005057951</v>
      </c>
      <c r="W9" s="55">
        <f>SUMIF($B$2:$B$225,$Q$9,$O$2:$O$225)</f>
        <v>854.03268134859286</v>
      </c>
      <c r="X9" s="36">
        <f>$R$9-$U$9</f>
        <v>0</v>
      </c>
      <c r="Y9" s="36">
        <f ca="1">$S$9-$V$9</f>
        <v>137522.18554940657</v>
      </c>
      <c r="Z9" s="36">
        <f>$T$9-$W$9</f>
        <v>98703.342248717352</v>
      </c>
      <c r="AA9" s="36">
        <f>SUMIF(EFEITO!$B$2:$B$225,$Q$9,EFEITO!$AE$2:$AE$225)</f>
        <v>0</v>
      </c>
      <c r="AB9" s="36">
        <f ca="1">SUMIF(EFEITO!$B$2:$B$225,$Q$9,EFEITO!$AF$2:$AF$225)</f>
        <v>137522.1855494066</v>
      </c>
      <c r="AC9" s="36">
        <f>SUMIF(EFEITO!$B$2:$B$225,$Q$9,EFEITO!$AG$2:$AH$225)</f>
        <v>98703.342248717396</v>
      </c>
      <c r="AD9" s="36">
        <f>SUMIF(SUBSIDIO!$B$2:$B$225,$Q$9,SUBSIDIO!$AD$2:$AD$225)</f>
        <v>0</v>
      </c>
      <c r="AE9" s="36">
        <f ca="1">SUMIF(SUBSIDIO!$B$2:$B$225,$Q$9,SUBSIDIO!$AE$2:$AE$225)</f>
        <v>1678.3410813991723</v>
      </c>
      <c r="AF9" s="36" t="str">
        <f>IF(ABS($X$9-$AA$9)&lt;0.01,"OK","ERRO")</f>
        <v>OK</v>
      </c>
      <c r="AG9" s="36" t="str">
        <f ca="1">IF(ABS($Y$9-$AB$9)&lt;0.01,"OK","ERRO")</f>
        <v>OK</v>
      </c>
      <c r="AH9" s="36" t="str">
        <f>IF(ABS($Z$9-$AC$9)&lt;0.01,"OK","ERRO")</f>
        <v>OK</v>
      </c>
      <c r="AI9" s="36" t="str">
        <f>IF(ABS($U$9-$AD$9)&lt;0.01,"OK","ERRO")</f>
        <v>OK</v>
      </c>
      <c r="AJ9" s="36" t="str">
        <f ca="1">IF(ABS(($V$9+$W$9)-$AE$9)&lt;0.01,"OK","ERRO")</f>
        <v>OK</v>
      </c>
    </row>
    <row r="10" spans="1:40" ht="11.25" customHeight="1" x14ac:dyDescent="0.2">
      <c r="A10" s="35" t="s">
        <v>21</v>
      </c>
      <c r="B10" s="35" t="s">
        <v>33</v>
      </c>
      <c r="C10" s="35" t="s">
        <v>34</v>
      </c>
      <c r="D10" s="35" t="s">
        <v>32</v>
      </c>
      <c r="E10" s="35" t="s">
        <v>25</v>
      </c>
      <c r="F10" s="35" t="s">
        <v>25</v>
      </c>
      <c r="G10" s="35" t="s">
        <v>25</v>
      </c>
      <c r="H10" s="35" t="s">
        <v>36</v>
      </c>
      <c r="I10" s="54">
        <v>44682</v>
      </c>
      <c r="J10" s="55">
        <f ca="1">EFEITO!$J$10*EFEITO!$Y$10</f>
        <v>13484.522379925447</v>
      </c>
      <c r="K10" s="55">
        <f ca="1">EFEITO!$L$10*EFEITO!$Z$10</f>
        <v>21983.939646811035</v>
      </c>
      <c r="L10" s="55">
        <f>EFEITO!$N$10*EFEITO!$AA$10</f>
        <v>53329.246385556828</v>
      </c>
      <c r="M10" s="55">
        <f ca="1">$J$10-EFEITO!$K$10*EFEITO!$Y$10</f>
        <v>0</v>
      </c>
      <c r="N10" s="55">
        <f ca="1">$K$10-EFEITO!$M$10*EFEITO!$Z$10</f>
        <v>0</v>
      </c>
      <c r="O10" s="55">
        <f>$L$10-EFEITO!$O$10*EFEITO!$AA$10</f>
        <v>0</v>
      </c>
      <c r="P10" s="39"/>
      <c r="Q10" s="55" t="s">
        <v>39</v>
      </c>
      <c r="R10" s="55">
        <f>SUMIF($B$2:$B$225,$Q$10,$J$2:$J$225)</f>
        <v>0</v>
      </c>
      <c r="S10" s="55">
        <f ca="1">SUMIF($B$2:$B$225,$Q$10,$K$2:$K$225)</f>
        <v>1785094.8658130327</v>
      </c>
      <c r="T10" s="55">
        <f>SUMIF($B$2:$B$225,$Q$10,$L$2:$L$225)</f>
        <v>1271549.8879374277</v>
      </c>
      <c r="U10" s="55">
        <f>SUMIF($B$2:$B$225,$Q$10,$M$2:$M$225)</f>
        <v>0</v>
      </c>
      <c r="V10" s="55">
        <f ca="1">SUMIF($B$2:$B$225,$Q$10,$N$2:$N$225)</f>
        <v>107114.12130334752</v>
      </c>
      <c r="W10" s="55">
        <f>SUMIF($B$2:$B$225,$Q$10,$O$2:$O$225)</f>
        <v>76298.997632125131</v>
      </c>
      <c r="X10" s="36">
        <f>$R$10-$U$10</f>
        <v>0</v>
      </c>
      <c r="Y10" s="36">
        <f ca="1">$S$10-$V$10</f>
        <v>1677980.7445096853</v>
      </c>
      <c r="Z10" s="36">
        <f>$T$10-$W$10</f>
        <v>1195250.8903053026</v>
      </c>
      <c r="AA10" s="36">
        <f>SUMIF(EFEITO!$B$2:$B$225,$Q$10,EFEITO!$AE$2:$AE$225)</f>
        <v>0</v>
      </c>
      <c r="AB10" s="36">
        <f ca="1">SUMIF(EFEITO!$B$2:$B$225,$Q$10,EFEITO!$AF$2:$AF$225)</f>
        <v>1677980.7445096853</v>
      </c>
      <c r="AC10" s="36">
        <f>SUMIF(EFEITO!$B$2:$B$225,$Q$10,EFEITO!$AG$2:$AH$225)</f>
        <v>1195250.8903053023</v>
      </c>
      <c r="AD10" s="36">
        <f>SUMIF(SUBSIDIO!$B$2:$B$225,$Q$10,SUBSIDIO!$AD$2:$AD$225)</f>
        <v>0</v>
      </c>
      <c r="AE10" s="36">
        <f ca="1">SUMIF(SUBSIDIO!$B$2:$B$225,$Q$10,SUBSIDIO!$AE$2:$AE$225)</f>
        <v>183413.11893547291</v>
      </c>
      <c r="AF10" s="36" t="str">
        <f>IF(ABS($X$10-$AA$10)&lt;0.01,"OK","ERRO")</f>
        <v>OK</v>
      </c>
      <c r="AG10" s="36" t="str">
        <f ca="1">IF(ABS($Y$10-$AB$10)&lt;0.01,"OK","ERRO")</f>
        <v>OK</v>
      </c>
      <c r="AH10" s="36" t="str">
        <f>IF(ABS($Z$10-$AC$10)&lt;0.01,"OK","ERRO")</f>
        <v>OK</v>
      </c>
      <c r="AI10" s="36" t="str">
        <f>IF(ABS($U$10-$AD$10)&lt;0.01,"OK","ERRO")</f>
        <v>OK</v>
      </c>
      <c r="AJ10" s="36" t="str">
        <f ca="1">IF(ABS(($V$10+$W$10)-$AE$10)&lt;0.01,"OK","ERRO")</f>
        <v>OK</v>
      </c>
    </row>
    <row r="11" spans="1:40" ht="11.25" customHeight="1" x14ac:dyDescent="0.2">
      <c r="A11" s="35" t="s">
        <v>21</v>
      </c>
      <c r="B11" s="35" t="s">
        <v>33</v>
      </c>
      <c r="C11" s="35" t="s">
        <v>34</v>
      </c>
      <c r="D11" s="35" t="s">
        <v>32</v>
      </c>
      <c r="E11" s="35" t="s">
        <v>25</v>
      </c>
      <c r="F11" s="35" t="s">
        <v>25</v>
      </c>
      <c r="G11" s="35" t="s">
        <v>25</v>
      </c>
      <c r="H11" s="35" t="s">
        <v>36</v>
      </c>
      <c r="I11" s="54">
        <v>44713</v>
      </c>
      <c r="J11" s="55">
        <f ca="1">EFEITO!$J$11*EFEITO!$Y$11</f>
        <v>13484.522379925447</v>
      </c>
      <c r="K11" s="55">
        <f ca="1">EFEITO!$L$11*EFEITO!$Z$11</f>
        <v>20494.645154025075</v>
      </c>
      <c r="L11" s="55">
        <f>EFEITO!$N$11*EFEITO!$AA$11</f>
        <v>49716.474779446806</v>
      </c>
      <c r="M11" s="55">
        <f ca="1">$J$11-EFEITO!$K$11*EFEITO!$Y$11</f>
        <v>0</v>
      </c>
      <c r="N11" s="55">
        <f ca="1">$K$11-EFEITO!$M$11*EFEITO!$Z$11</f>
        <v>0</v>
      </c>
      <c r="O11" s="55">
        <f>$L$11-EFEITO!$O$11*EFEITO!$AA$11</f>
        <v>0</v>
      </c>
      <c r="P11" s="39"/>
      <c r="Q11" s="55" t="s">
        <v>31</v>
      </c>
      <c r="R11" s="55">
        <f>SUMIF($B$2:$B$225,$Q$11,$J$2:$J$225)</f>
        <v>0</v>
      </c>
      <c r="S11" s="55">
        <f ca="1">SUMIF($B$2:$B$225,$Q$11,$K$2:$K$225)</f>
        <v>100170.20010404731</v>
      </c>
      <c r="T11" s="55">
        <f>SUMIF($B$2:$B$225,$Q$11,$L$2:$L$225)</f>
        <v>71352.738252910145</v>
      </c>
      <c r="U11" s="55">
        <f>SUMIF($B$2:$B$225,$Q$11,$M$2:$M$225)</f>
        <v>0</v>
      </c>
      <c r="V11" s="55">
        <f ca="1">SUMIF($B$2:$B$225,$Q$11,$N$2:$N$225)</f>
        <v>68.908852646876696</v>
      </c>
      <c r="W11" s="55">
        <f>SUMIF($B$2:$B$225,$Q$11,$O$2:$O$225)</f>
        <v>49.084810863049199</v>
      </c>
      <c r="X11" s="36">
        <f>$R$11-$U$11</f>
        <v>0</v>
      </c>
      <c r="Y11" s="36">
        <f ca="1">$S$11-$V$11</f>
        <v>100101.29125140044</v>
      </c>
      <c r="Z11" s="36">
        <f>$T$11-$W$11</f>
        <v>71303.6534420471</v>
      </c>
      <c r="AA11" s="36">
        <f>SUMIF(EFEITO!$B$2:$B$225,$Q$11,EFEITO!$AE$2:$AE$225)</f>
        <v>0</v>
      </c>
      <c r="AB11" s="36">
        <f ca="1">SUMIF(EFEITO!$B$2:$B$225,$Q$11,EFEITO!$AF$2:$AF$225)</f>
        <v>100101.29125140047</v>
      </c>
      <c r="AC11" s="36">
        <f>SUMIF(EFEITO!$B$2:$B$225,$Q$11,EFEITO!$AG$2:$AH$225)</f>
        <v>71303.653442047114</v>
      </c>
      <c r="AD11" s="36">
        <f>SUMIF(SUBSIDIO!$B$2:$B$225,$Q$11,SUBSIDIO!$AD$2:$AD$225)</f>
        <v>0</v>
      </c>
      <c r="AE11" s="36">
        <f ca="1">SUMIF(SUBSIDIO!$B$2:$B$225,$Q$11,SUBSIDIO!$AE$2:$AE$225)</f>
        <v>117.99366350992591</v>
      </c>
      <c r="AF11" s="36" t="str">
        <f>IF(ABS($X$11-$AA$11)&lt;0.01,"OK","ERRO")</f>
        <v>OK</v>
      </c>
      <c r="AG11" s="36" t="str">
        <f ca="1">IF(ABS($Y$11-$AB$11)&lt;0.01,"OK","ERRO")</f>
        <v>OK</v>
      </c>
      <c r="AH11" s="36" t="str">
        <f>IF(ABS($Z$11-$AC$11)&lt;0.01,"OK","ERRO")</f>
        <v>OK</v>
      </c>
      <c r="AI11" s="36" t="str">
        <f>IF(ABS($U$11-$AD$11)&lt;0.01,"OK","ERRO")</f>
        <v>OK</v>
      </c>
      <c r="AJ11" s="36" t="str">
        <f ca="1">IF(ABS(($V$11+$W$11)-$AE$11)&lt;0.01,"OK","ERRO")</f>
        <v>OK</v>
      </c>
    </row>
    <row r="12" spans="1:40" ht="11.25" customHeight="1" x14ac:dyDescent="0.2">
      <c r="A12" s="35" t="s">
        <v>21</v>
      </c>
      <c r="B12" s="35" t="s">
        <v>33</v>
      </c>
      <c r="C12" s="35" t="s">
        <v>34</v>
      </c>
      <c r="D12" s="35" t="s">
        <v>32</v>
      </c>
      <c r="E12" s="35" t="s">
        <v>25</v>
      </c>
      <c r="F12" s="35" t="s">
        <v>25</v>
      </c>
      <c r="G12" s="35" t="s">
        <v>25</v>
      </c>
      <c r="H12" s="35" t="s">
        <v>36</v>
      </c>
      <c r="I12" s="54">
        <v>44743</v>
      </c>
      <c r="J12" s="55">
        <f ca="1">EFEITO!$J$12*EFEITO!$Y$12</f>
        <v>13484.522379925447</v>
      </c>
      <c r="K12" s="55">
        <f ca="1">EFEITO!$L$12*EFEITO!$Z$12</f>
        <v>20110.641417165785</v>
      </c>
      <c r="L12" s="55">
        <f>EFEITO!$N$12*EFEITO!$AA$12</f>
        <v>48784.94793644466</v>
      </c>
      <c r="M12" s="55">
        <f ca="1">$J$12-EFEITO!$K$12*EFEITO!$Y$12</f>
        <v>0</v>
      </c>
      <c r="N12" s="55">
        <f ca="1">$K$12-EFEITO!$M$12*EFEITO!$Z$12</f>
        <v>0</v>
      </c>
      <c r="O12" s="55">
        <f>$L$12-EFEITO!$O$12*EFEITO!$AA$12</f>
        <v>0</v>
      </c>
      <c r="P12" s="39"/>
      <c r="Q12" s="55" t="s">
        <v>43</v>
      </c>
      <c r="R12" s="55">
        <f>SUMIF($B$2:$B$225,$Q$12,$J$2:$J$225)</f>
        <v>0</v>
      </c>
      <c r="S12" s="55">
        <f ca="1">SUMIF($B$2:$B$225,$Q$12,$K$2:$K$225)</f>
        <v>42755.5595453274</v>
      </c>
      <c r="T12" s="55">
        <f>SUMIF($B$2:$B$225,$Q$12,$L$2:$L$225)</f>
        <v>30455.427321954587</v>
      </c>
      <c r="U12" s="55">
        <f>SUMIF($B$2:$B$225,$Q$12,$M$2:$M$225)</f>
        <v>0</v>
      </c>
      <c r="V12" s="55">
        <f ca="1">SUMIF($B$2:$B$225,$Q$12,$N$2:$N$225)</f>
        <v>0</v>
      </c>
      <c r="W12" s="55">
        <f>SUMIF($B$2:$B$225,$Q$12,$O$2:$O$225)</f>
        <v>0</v>
      </c>
      <c r="X12" s="36">
        <f>$R$12-$U$12</f>
        <v>0</v>
      </c>
      <c r="Y12" s="36">
        <f ca="1">$S$12-$V$12</f>
        <v>42755.5595453274</v>
      </c>
      <c r="Z12" s="36">
        <f>$T$12-$W$12</f>
        <v>30455.427321954587</v>
      </c>
      <c r="AA12" s="36">
        <f>SUMIF(EFEITO!$B$2:$B$225,$Q$12,EFEITO!$AE$2:$AE$225)</f>
        <v>0</v>
      </c>
      <c r="AB12" s="36">
        <f ca="1">SUMIF(EFEITO!$B$2:$B$225,$Q$12,EFEITO!$AF$2:$AF$225)</f>
        <v>42755.5595453274</v>
      </c>
      <c r="AC12" s="36">
        <f>SUMIF(EFEITO!$B$2:$B$225,$Q$12,EFEITO!$AG$2:$AH$225)</f>
        <v>30455.427321954587</v>
      </c>
      <c r="AD12" s="36">
        <f>SUMIF(SUBSIDIO!$B$2:$B$225,$Q$12,SUBSIDIO!$AD$2:$AD$225)</f>
        <v>0</v>
      </c>
      <c r="AE12" s="36">
        <f>SUMIF(SUBSIDIO!$B$2:$B$225,$Q$12,SUBSIDIO!$AE$2:$AE$225)</f>
        <v>0</v>
      </c>
      <c r="AF12" s="36" t="str">
        <f>IF(ABS($X$12-$AA$12)&lt;0.01,"OK","ERRO")</f>
        <v>OK</v>
      </c>
      <c r="AG12" s="36" t="str">
        <f ca="1">IF(ABS($Y$12-$AB$12)&lt;0.01,"OK","ERRO")</f>
        <v>OK</v>
      </c>
      <c r="AH12" s="36" t="str">
        <f>IF(ABS($Z$12-$AC$12)&lt;0.01,"OK","ERRO")</f>
        <v>OK</v>
      </c>
      <c r="AI12" s="36" t="str">
        <f>IF(ABS($U$12-$AD$12)&lt;0.01,"OK","ERRO")</f>
        <v>OK</v>
      </c>
      <c r="AJ12" s="36" t="str">
        <f ca="1">IF(ABS(($V$12+$W$12)-$AE$12)&lt;0.01,"OK","ERRO")</f>
        <v>OK</v>
      </c>
    </row>
    <row r="13" spans="1:40" ht="11.25" customHeight="1" x14ac:dyDescent="0.2">
      <c r="A13" s="35" t="s">
        <v>21</v>
      </c>
      <c r="B13" s="35" t="s">
        <v>33</v>
      </c>
      <c r="C13" s="35" t="s">
        <v>34</v>
      </c>
      <c r="D13" s="35" t="s">
        <v>32</v>
      </c>
      <c r="E13" s="35" t="s">
        <v>25</v>
      </c>
      <c r="F13" s="35" t="s">
        <v>25</v>
      </c>
      <c r="G13" s="35" t="s">
        <v>25</v>
      </c>
      <c r="H13" s="35" t="s">
        <v>36</v>
      </c>
      <c r="I13" s="54">
        <v>44774</v>
      </c>
      <c r="J13" s="55">
        <f ca="1">EFEITO!$J$13*EFEITO!$Y$13</f>
        <v>13484.522379925447</v>
      </c>
      <c r="K13" s="55">
        <f ca="1">EFEITO!$L$13*EFEITO!$Z$13</f>
        <v>19632.831053159436</v>
      </c>
      <c r="L13" s="55">
        <f>EFEITO!$N$13*EFEITO!$AA$13</f>
        <v>47625.862393223404</v>
      </c>
      <c r="M13" s="55">
        <f ca="1">$J$13-EFEITO!$K$13*EFEITO!$Y$13</f>
        <v>0</v>
      </c>
      <c r="N13" s="55">
        <f ca="1">$K$13-EFEITO!$M$13*EFEITO!$Z$13</f>
        <v>0</v>
      </c>
      <c r="O13" s="55">
        <f>$L$13-EFEITO!$O$13*EFEITO!$AA$13</f>
        <v>0</v>
      </c>
      <c r="P13" s="39"/>
      <c r="Q13" s="55" t="s">
        <v>77</v>
      </c>
      <c r="R13" s="55">
        <f>SUMIF($B$2:$B$225,$Q$13,$J$2:$J$225)</f>
        <v>0</v>
      </c>
      <c r="S13" s="55">
        <f>SUMIF($B$2:$B$225,$Q$13,$K$2:$K$225)</f>
        <v>0</v>
      </c>
      <c r="T13" s="55">
        <f>SUMIF($B$2:$B$225,$Q$13,$L$2:$L$225)</f>
        <v>0</v>
      </c>
      <c r="U13" s="55">
        <f>SUMIF($B$2:$B$225,$Q$13,$M$2:$M$225)</f>
        <v>0</v>
      </c>
      <c r="V13" s="55">
        <f>SUMIF($B$2:$B$225,$Q$13,$N$2:$N$225)</f>
        <v>0</v>
      </c>
      <c r="W13" s="55">
        <f>SUMIF($B$2:$B$225,$Q$13,$O$2:$O$225)</f>
        <v>0</v>
      </c>
      <c r="X13" s="36">
        <f>$R$13-$U$13</f>
        <v>0</v>
      </c>
      <c r="Y13" s="36">
        <f>$S$13-$V$13</f>
        <v>0</v>
      </c>
      <c r="Z13" s="36">
        <f>$T$13-$W$13</f>
        <v>0</v>
      </c>
      <c r="AA13" s="36">
        <f>SUMIF(EFEITO!$B$2:$B$225,$Q$13,EFEITO!$AE$2:$AE$225)</f>
        <v>0</v>
      </c>
      <c r="AB13" s="36">
        <f>SUMIF(EFEITO!$B$2:$B$225,$Q$13,EFEITO!$AF$2:$AF$225)</f>
        <v>0</v>
      </c>
      <c r="AC13" s="36">
        <f>SUMIF(EFEITO!$B$2:$B$225,$Q$13,EFEITO!$AG$2:$AH$225)</f>
        <v>0</v>
      </c>
      <c r="AD13" s="36">
        <f>SUMIF(SUBSIDIO!$B$2:$B$225,$Q$13,SUBSIDIO!$AD$2:$AD$225)</f>
        <v>0</v>
      </c>
      <c r="AE13" s="36">
        <f>SUMIF(SUBSIDIO!$B$2:$B$225,$Q$13,SUBSIDIO!$AE$2:$AE$225)</f>
        <v>0</v>
      </c>
      <c r="AF13" s="36" t="str">
        <f>IF(ABS($X$13-$AA$13)&lt;0.01,"OK","ERRO")</f>
        <v>OK</v>
      </c>
      <c r="AG13" s="36" t="str">
        <f>IF(ABS($Y$13-$AB$13)&lt;0.01,"OK","ERRO")</f>
        <v>OK</v>
      </c>
      <c r="AH13" s="36" t="str">
        <f>IF(ABS($Z$13-$AC$13)&lt;0.01,"OK","ERRO")</f>
        <v>OK</v>
      </c>
      <c r="AI13" s="36" t="str">
        <f>IF(ABS($U$13-$AD$13)&lt;0.01,"OK","ERRO")</f>
        <v>OK</v>
      </c>
      <c r="AJ13" s="36" t="str">
        <f>IF(ABS(($V$13+$W$13)-$AE$13)&lt;0.01,"OK","ERRO")</f>
        <v>OK</v>
      </c>
    </row>
    <row r="14" spans="1:40" ht="11.25" customHeight="1" x14ac:dyDescent="0.2">
      <c r="A14" s="35" t="s">
        <v>21</v>
      </c>
      <c r="B14" s="35" t="s">
        <v>33</v>
      </c>
      <c r="C14" s="35" t="s">
        <v>34</v>
      </c>
      <c r="D14" s="35" t="s">
        <v>32</v>
      </c>
      <c r="E14" s="35" t="s">
        <v>25</v>
      </c>
      <c r="F14" s="35" t="s">
        <v>25</v>
      </c>
      <c r="G14" s="35" t="s">
        <v>25</v>
      </c>
      <c r="H14" s="35" t="s">
        <v>35</v>
      </c>
      <c r="I14" s="54">
        <v>44440</v>
      </c>
      <c r="J14" s="55">
        <f ca="1">EFEITO!$J$14*EFEITO!$Y$14</f>
        <v>31098.058530354941</v>
      </c>
      <c r="K14" s="55">
        <f ca="1">EFEITO!$L$14*EFEITO!$Z$14</f>
        <v>2180.3183602103695</v>
      </c>
      <c r="L14" s="55">
        <f>EFEITO!$N$14*EFEITO!$AA$14</f>
        <v>5289.0763393029383</v>
      </c>
      <c r="M14" s="55">
        <f ca="1">$J$14-EFEITO!$K$14*EFEITO!$Y$14</f>
        <v>0</v>
      </c>
      <c r="N14" s="55">
        <f ca="1">$K$14-EFEITO!$M$14*EFEITO!$Z$14</f>
        <v>0</v>
      </c>
      <c r="O14" s="55">
        <f>$L$14-EFEITO!$O$14*EFEITO!$AA$14</f>
        <v>0</v>
      </c>
      <c r="P14" s="39"/>
      <c r="Q14" s="39"/>
      <c r="R14" s="39"/>
      <c r="S14" s="39"/>
      <c r="T14" s="39"/>
      <c r="U14" s="39"/>
      <c r="V14" s="39"/>
      <c r="W14" s="39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40" ht="11.25" customHeight="1" x14ac:dyDescent="0.2">
      <c r="A15" s="35" t="s">
        <v>21</v>
      </c>
      <c r="B15" s="35" t="s">
        <v>33</v>
      </c>
      <c r="C15" s="35" t="s">
        <v>34</v>
      </c>
      <c r="D15" s="35" t="s">
        <v>32</v>
      </c>
      <c r="E15" s="35" t="s">
        <v>25</v>
      </c>
      <c r="F15" s="35" t="s">
        <v>25</v>
      </c>
      <c r="G15" s="35" t="s">
        <v>25</v>
      </c>
      <c r="H15" s="35" t="s">
        <v>35</v>
      </c>
      <c r="I15" s="54">
        <v>44470</v>
      </c>
      <c r="J15" s="55">
        <f ca="1">EFEITO!$J$15*EFEITO!$Y$15</f>
        <v>31098.058530354941</v>
      </c>
      <c r="K15" s="55">
        <f ca="1">EFEITO!$L$15*EFEITO!$Z$15</f>
        <v>2180.6840780549974</v>
      </c>
      <c r="L15" s="55">
        <f>EFEITO!$N$15*EFEITO!$AA$15</f>
        <v>5289.9635077248449</v>
      </c>
      <c r="M15" s="55">
        <f ca="1">$J$15-EFEITO!$K$15*EFEITO!$Y$15</f>
        <v>0</v>
      </c>
      <c r="N15" s="55">
        <f ca="1">$K$15-EFEITO!$M$15*EFEITO!$Z$15</f>
        <v>0</v>
      </c>
      <c r="O15" s="55">
        <f>$L$15-EFEITO!$O$15*EFEITO!$AA$15</f>
        <v>0</v>
      </c>
      <c r="P15" s="39"/>
      <c r="Q15" s="39"/>
      <c r="R15" s="39"/>
      <c r="S15" s="39"/>
      <c r="T15" s="39"/>
      <c r="U15" s="39"/>
      <c r="V15" s="39"/>
      <c r="W15" s="39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40" ht="11.25" customHeight="1" x14ac:dyDescent="0.2">
      <c r="A16" s="35" t="s">
        <v>21</v>
      </c>
      <c r="B16" s="35" t="s">
        <v>33</v>
      </c>
      <c r="C16" s="35" t="s">
        <v>34</v>
      </c>
      <c r="D16" s="35" t="s">
        <v>32</v>
      </c>
      <c r="E16" s="35" t="s">
        <v>25</v>
      </c>
      <c r="F16" s="35" t="s">
        <v>25</v>
      </c>
      <c r="G16" s="35" t="s">
        <v>25</v>
      </c>
      <c r="H16" s="35" t="s">
        <v>35</v>
      </c>
      <c r="I16" s="54">
        <v>44501</v>
      </c>
      <c r="J16" s="55">
        <f ca="1">EFEITO!$J$16*EFEITO!$Y$16</f>
        <v>32438.492087697829</v>
      </c>
      <c r="K16" s="55">
        <f ca="1">EFEITO!$L$16*EFEITO!$Z$16</f>
        <v>2329.6226702797089</v>
      </c>
      <c r="L16" s="55">
        <f>EFEITO!$N$16*EFEITO!$AA$16</f>
        <v>5651.2628475463944</v>
      </c>
      <c r="M16" s="55">
        <f ca="1">$J$16-EFEITO!$K$16*EFEITO!$Y$16</f>
        <v>0</v>
      </c>
      <c r="N16" s="55">
        <f ca="1">$K$16-EFEITO!$M$16*EFEITO!$Z$16</f>
        <v>0</v>
      </c>
      <c r="O16" s="55">
        <f>$L$16-EFEITO!$O$16*EFEITO!$AA$16</f>
        <v>0</v>
      </c>
      <c r="P16" s="39"/>
      <c r="Q16" s="39"/>
      <c r="R16" s="39"/>
      <c r="S16" s="39"/>
      <c r="T16" s="39"/>
      <c r="U16" s="39"/>
      <c r="V16" s="39"/>
      <c r="W16" s="39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1.25" customHeight="1" x14ac:dyDescent="0.2">
      <c r="A17" s="35" t="s">
        <v>21</v>
      </c>
      <c r="B17" s="35" t="s">
        <v>33</v>
      </c>
      <c r="C17" s="35" t="s">
        <v>34</v>
      </c>
      <c r="D17" s="35" t="s">
        <v>32</v>
      </c>
      <c r="E17" s="35" t="s">
        <v>25</v>
      </c>
      <c r="F17" s="35" t="s">
        <v>25</v>
      </c>
      <c r="G17" s="35" t="s">
        <v>25</v>
      </c>
      <c r="H17" s="35" t="s">
        <v>35</v>
      </c>
      <c r="I17" s="54">
        <v>44531</v>
      </c>
      <c r="J17" s="55">
        <f ca="1">EFEITO!$J$17*EFEITO!$Y$17</f>
        <v>39891.302666524272</v>
      </c>
      <c r="K17" s="55">
        <f ca="1">EFEITO!$L$17*EFEITO!$Z$17</f>
        <v>3095.2529780082127</v>
      </c>
      <c r="L17" s="55">
        <f>EFEITO!$N$17*EFEITO!$AA$17</f>
        <v>7508.5499388083063</v>
      </c>
      <c r="M17" s="55">
        <f ca="1">$J$17-EFEITO!$K$17*EFEITO!$Y$17</f>
        <v>0</v>
      </c>
      <c r="N17" s="55">
        <f ca="1">$K$17-EFEITO!$M$17*EFEITO!$Z$17</f>
        <v>0</v>
      </c>
      <c r="O17" s="55">
        <f>$L$17-EFEITO!$O$17*EFEITO!$AA$17</f>
        <v>0</v>
      </c>
      <c r="P17" s="39"/>
      <c r="Q17" s="39"/>
      <c r="R17" s="39"/>
      <c r="S17" s="39"/>
      <c r="T17" s="39"/>
      <c r="U17" s="39"/>
      <c r="V17" s="39"/>
      <c r="W17" s="39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1.25" customHeight="1" x14ac:dyDescent="0.2">
      <c r="A18" s="35" t="s">
        <v>21</v>
      </c>
      <c r="B18" s="35" t="s">
        <v>33</v>
      </c>
      <c r="C18" s="35" t="s">
        <v>34</v>
      </c>
      <c r="D18" s="35" t="s">
        <v>32</v>
      </c>
      <c r="E18" s="35" t="s">
        <v>25</v>
      </c>
      <c r="F18" s="35" t="s">
        <v>25</v>
      </c>
      <c r="G18" s="35" t="s">
        <v>25</v>
      </c>
      <c r="H18" s="35" t="s">
        <v>35</v>
      </c>
      <c r="I18" s="54">
        <v>44562</v>
      </c>
      <c r="J18" s="55">
        <f ca="1">EFEITO!$J$18*EFEITO!$Y$18</f>
        <v>38336.39974000652</v>
      </c>
      <c r="K18" s="55">
        <f ca="1">EFEITO!$L$18*EFEITO!$Z$18</f>
        <v>3084.007154285905</v>
      </c>
      <c r="L18" s="55">
        <f>EFEITO!$N$18*EFEITO!$AA$18</f>
        <v>7481.2695098346721</v>
      </c>
      <c r="M18" s="55">
        <f ca="1">$J$18-EFEITO!$K$18*EFEITO!$Y$18</f>
        <v>0</v>
      </c>
      <c r="N18" s="55">
        <f ca="1">$K$18-EFEITO!$M$18*EFEITO!$Z$18</f>
        <v>0</v>
      </c>
      <c r="O18" s="55">
        <f>$L$18-EFEITO!$O$18*EFEITO!$AA$18</f>
        <v>0</v>
      </c>
      <c r="P18" s="39"/>
      <c r="Q18" s="39"/>
      <c r="R18" s="39"/>
      <c r="S18" s="39"/>
      <c r="T18" s="39"/>
      <c r="U18" s="39"/>
      <c r="V18" s="39"/>
      <c r="W18" s="39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1.25" customHeight="1" x14ac:dyDescent="0.2">
      <c r="A19" s="35" t="s">
        <v>21</v>
      </c>
      <c r="B19" s="35" t="s">
        <v>33</v>
      </c>
      <c r="C19" s="35" t="s">
        <v>34</v>
      </c>
      <c r="D19" s="35" t="s">
        <v>32</v>
      </c>
      <c r="E19" s="35" t="s">
        <v>25</v>
      </c>
      <c r="F19" s="35" t="s">
        <v>25</v>
      </c>
      <c r="G19" s="35" t="s">
        <v>25</v>
      </c>
      <c r="H19" s="35" t="s">
        <v>35</v>
      </c>
      <c r="I19" s="54">
        <v>44593</v>
      </c>
      <c r="J19" s="55">
        <f ca="1">EFEITO!$J$19*EFEITO!$Y$19</f>
        <v>38336.39974000652</v>
      </c>
      <c r="K19" s="55">
        <f ca="1">EFEITO!$L$19*EFEITO!$Z$19</f>
        <v>2270.8335267557741</v>
      </c>
      <c r="L19" s="55">
        <f>EFEITO!$N$19*EFEITO!$AA$19</f>
        <v>5508.6505237248748</v>
      </c>
      <c r="M19" s="55">
        <f ca="1">$J$19-EFEITO!$K$19*EFEITO!$Y$19</f>
        <v>0</v>
      </c>
      <c r="N19" s="55">
        <f ca="1">$K$19-EFEITO!$M$19*EFEITO!$Z$19</f>
        <v>0</v>
      </c>
      <c r="O19" s="55">
        <f>$L$19-EFEITO!$O$19*EFEITO!$AA$19</f>
        <v>0</v>
      </c>
      <c r="P19" s="39"/>
      <c r="Q19" s="39"/>
      <c r="R19" s="39"/>
      <c r="S19" s="39"/>
      <c r="T19" s="39"/>
      <c r="U19" s="39"/>
      <c r="V19" s="39"/>
      <c r="W19" s="39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1.25" customHeight="1" x14ac:dyDescent="0.2">
      <c r="A20" s="35" t="s">
        <v>21</v>
      </c>
      <c r="B20" s="35" t="s">
        <v>33</v>
      </c>
      <c r="C20" s="35" t="s">
        <v>34</v>
      </c>
      <c r="D20" s="35" t="s">
        <v>32</v>
      </c>
      <c r="E20" s="35" t="s">
        <v>25</v>
      </c>
      <c r="F20" s="35" t="s">
        <v>25</v>
      </c>
      <c r="G20" s="35" t="s">
        <v>25</v>
      </c>
      <c r="H20" s="35" t="s">
        <v>35</v>
      </c>
      <c r="I20" s="54">
        <v>44621</v>
      </c>
      <c r="J20" s="55">
        <f ca="1">EFEITO!$J$20*EFEITO!$Y$20</f>
        <v>38336.39974000652</v>
      </c>
      <c r="K20" s="55">
        <f ca="1">EFEITO!$L$20*EFEITO!$Z$20</f>
        <v>3155.4135634495019</v>
      </c>
      <c r="L20" s="55">
        <f>EFEITO!$N$20*EFEITO!$AA$20</f>
        <v>7654.489144211977</v>
      </c>
      <c r="M20" s="55">
        <f ca="1">$J$20-EFEITO!$K$20*EFEITO!$Y$20</f>
        <v>0</v>
      </c>
      <c r="N20" s="55">
        <f ca="1">$K$20-EFEITO!$M$20*EFEITO!$Z$20</f>
        <v>0</v>
      </c>
      <c r="O20" s="55">
        <f>$L$20-EFEITO!$O$20*EFEITO!$AA$20</f>
        <v>0</v>
      </c>
      <c r="P20" s="39"/>
      <c r="Q20" s="39"/>
      <c r="R20" s="39"/>
      <c r="S20" s="39"/>
      <c r="T20" s="39"/>
      <c r="U20" s="39"/>
      <c r="V20" s="39"/>
      <c r="W20" s="39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1.25" customHeight="1" x14ac:dyDescent="0.2">
      <c r="A21" s="35" t="s">
        <v>21</v>
      </c>
      <c r="B21" s="35" t="s">
        <v>33</v>
      </c>
      <c r="C21" s="35" t="s">
        <v>34</v>
      </c>
      <c r="D21" s="35" t="s">
        <v>32</v>
      </c>
      <c r="E21" s="35" t="s">
        <v>25</v>
      </c>
      <c r="F21" s="35" t="s">
        <v>25</v>
      </c>
      <c r="G21" s="35" t="s">
        <v>25</v>
      </c>
      <c r="H21" s="35" t="s">
        <v>35</v>
      </c>
      <c r="I21" s="54">
        <v>44652</v>
      </c>
      <c r="J21" s="55">
        <f ca="1">EFEITO!$J$21*EFEITO!$Y$21</f>
        <v>38336.39974000652</v>
      </c>
      <c r="K21" s="55">
        <f ca="1">EFEITO!$L$21*EFEITO!$Z$21</f>
        <v>2738.4952205736986</v>
      </c>
      <c r="L21" s="55">
        <f>EFEITO!$N$21*EFEITO!$AA$21</f>
        <v>6643.1171432382116</v>
      </c>
      <c r="M21" s="55">
        <f ca="1">$J$21-EFEITO!$K$21*EFEITO!$Y$21</f>
        <v>0</v>
      </c>
      <c r="N21" s="55">
        <f ca="1">$K$21-EFEITO!$M$21*EFEITO!$Z$21</f>
        <v>0</v>
      </c>
      <c r="O21" s="55">
        <f>$L$21-EFEITO!$O$21*EFEITO!$AA$21</f>
        <v>0</v>
      </c>
      <c r="P21" s="39"/>
      <c r="Q21" s="39"/>
      <c r="R21" s="39"/>
      <c r="S21" s="39"/>
      <c r="T21" s="39"/>
      <c r="U21" s="39"/>
      <c r="V21" s="39"/>
      <c r="W21" s="39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1.25" customHeight="1" x14ac:dyDescent="0.2">
      <c r="A22" s="35" t="s">
        <v>21</v>
      </c>
      <c r="B22" s="35" t="s">
        <v>33</v>
      </c>
      <c r="C22" s="35" t="s">
        <v>34</v>
      </c>
      <c r="D22" s="35" t="s">
        <v>32</v>
      </c>
      <c r="E22" s="35" t="s">
        <v>25</v>
      </c>
      <c r="F22" s="35" t="s">
        <v>25</v>
      </c>
      <c r="G22" s="35" t="s">
        <v>25</v>
      </c>
      <c r="H22" s="35" t="s">
        <v>35</v>
      </c>
      <c r="I22" s="54">
        <v>44682</v>
      </c>
      <c r="J22" s="55">
        <f ca="1">EFEITO!$J$22*EFEITO!$Y$22</f>
        <v>38336.39974000652</v>
      </c>
      <c r="K22" s="55">
        <f ca="1">EFEITO!$L$22*EFEITO!$Z$22</f>
        <v>3114.8188826958049</v>
      </c>
      <c r="L22" s="55">
        <f>EFEITO!$N$22*EFEITO!$AA$22</f>
        <v>7556.0134493803198</v>
      </c>
      <c r="M22" s="55">
        <f ca="1">$J$22-EFEITO!$K$22*EFEITO!$Y$22</f>
        <v>0</v>
      </c>
      <c r="N22" s="55">
        <f ca="1">$K$22-EFEITO!$M$22*EFEITO!$Z$22</f>
        <v>0</v>
      </c>
      <c r="O22" s="55">
        <f>$L$22-EFEITO!$O$22*EFEITO!$AA$22</f>
        <v>0</v>
      </c>
      <c r="P22" s="39"/>
      <c r="Q22" s="39"/>
      <c r="R22" s="39"/>
      <c r="S22" s="39"/>
      <c r="T22" s="39"/>
      <c r="U22" s="39"/>
      <c r="V22" s="39"/>
      <c r="W22" s="39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1.25" customHeight="1" x14ac:dyDescent="0.2">
      <c r="A23" s="35" t="s">
        <v>21</v>
      </c>
      <c r="B23" s="35" t="s">
        <v>33</v>
      </c>
      <c r="C23" s="35" t="s">
        <v>34</v>
      </c>
      <c r="D23" s="35" t="s">
        <v>32</v>
      </c>
      <c r="E23" s="35" t="s">
        <v>25</v>
      </c>
      <c r="F23" s="35" t="s">
        <v>25</v>
      </c>
      <c r="G23" s="35" t="s">
        <v>25</v>
      </c>
      <c r="H23" s="35" t="s">
        <v>35</v>
      </c>
      <c r="I23" s="54">
        <v>44713</v>
      </c>
      <c r="J23" s="55">
        <f ca="1">EFEITO!$J$23*EFEITO!$Y$23</f>
        <v>38336.39974000652</v>
      </c>
      <c r="K23" s="55">
        <f ca="1">EFEITO!$L$23*EFEITO!$Z$23</f>
        <v>2737.7637848844424</v>
      </c>
      <c r="L23" s="55">
        <f>EFEITO!$N$23*EFEITO!$AA$23</f>
        <v>6641.3428063943966</v>
      </c>
      <c r="M23" s="55">
        <f ca="1">$J$23-EFEITO!$K$23*EFEITO!$Y$23</f>
        <v>0</v>
      </c>
      <c r="N23" s="55">
        <f ca="1">$K$23-EFEITO!$M$23*EFEITO!$Z$23</f>
        <v>0</v>
      </c>
      <c r="O23" s="55">
        <f>$L$23-EFEITO!$O$23*EFEITO!$AA$23</f>
        <v>0</v>
      </c>
      <c r="P23" s="39"/>
      <c r="Q23" s="39"/>
      <c r="R23" s="39"/>
      <c r="S23" s="39"/>
      <c r="T23" s="39"/>
      <c r="U23" s="39"/>
      <c r="V23" s="39"/>
      <c r="W23" s="39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1.25" customHeight="1" x14ac:dyDescent="0.2">
      <c r="A24" s="35" t="s">
        <v>21</v>
      </c>
      <c r="B24" s="35" t="s">
        <v>33</v>
      </c>
      <c r="C24" s="35" t="s">
        <v>34</v>
      </c>
      <c r="D24" s="35" t="s">
        <v>32</v>
      </c>
      <c r="E24" s="35" t="s">
        <v>25</v>
      </c>
      <c r="F24" s="35" t="s">
        <v>25</v>
      </c>
      <c r="G24" s="35" t="s">
        <v>25</v>
      </c>
      <c r="H24" s="35" t="s">
        <v>35</v>
      </c>
      <c r="I24" s="54">
        <v>44743</v>
      </c>
      <c r="J24" s="55">
        <f ca="1">EFEITO!$J$24*EFEITO!$Y$24</f>
        <v>38336.39974000652</v>
      </c>
      <c r="K24" s="55">
        <f ca="1">EFEITO!$L$24*EFEITO!$Z$24</f>
        <v>2755.7753887323665</v>
      </c>
      <c r="L24" s="55">
        <f>EFEITO!$N$24*EFEITO!$AA$24</f>
        <v>6685.0358511733075</v>
      </c>
      <c r="M24" s="55">
        <f ca="1">$J$24-EFEITO!$K$24*EFEITO!$Y$24</f>
        <v>0</v>
      </c>
      <c r="N24" s="55">
        <f ca="1">$K$24-EFEITO!$M$24*EFEITO!$Z$24</f>
        <v>0</v>
      </c>
      <c r="O24" s="55">
        <f>$L$24-EFEITO!$O$24*EFEITO!$AA$24</f>
        <v>0</v>
      </c>
      <c r="P24" s="39"/>
      <c r="Q24" s="39"/>
      <c r="R24" s="39"/>
      <c r="S24" s="39"/>
      <c r="T24" s="39"/>
      <c r="U24" s="39"/>
      <c r="V24" s="39"/>
      <c r="W24" s="39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1.25" customHeight="1" x14ac:dyDescent="0.2">
      <c r="A25" s="35" t="s">
        <v>21</v>
      </c>
      <c r="B25" s="35" t="s">
        <v>33</v>
      </c>
      <c r="C25" s="35" t="s">
        <v>34</v>
      </c>
      <c r="D25" s="35" t="s">
        <v>32</v>
      </c>
      <c r="E25" s="35" t="s">
        <v>25</v>
      </c>
      <c r="F25" s="35" t="s">
        <v>25</v>
      </c>
      <c r="G25" s="35" t="s">
        <v>25</v>
      </c>
      <c r="H25" s="35" t="s">
        <v>35</v>
      </c>
      <c r="I25" s="54">
        <v>44774</v>
      </c>
      <c r="J25" s="55">
        <f ca="1">EFEITO!$J$25*EFEITO!$Y$25</f>
        <v>38336.39974000652</v>
      </c>
      <c r="K25" s="55">
        <f ca="1">EFEITO!$L$25*EFEITO!$Z$25</f>
        <v>2916.234093062857</v>
      </c>
      <c r="L25" s="55">
        <f>EFEITO!$N$25*EFEITO!$AA$25</f>
        <v>7074.2809962849215</v>
      </c>
      <c r="M25" s="55">
        <f ca="1">$J$25-EFEITO!$K$25*EFEITO!$Y$25</f>
        <v>0</v>
      </c>
      <c r="N25" s="55">
        <f ca="1">$K$25-EFEITO!$M$25*EFEITO!$Z$25</f>
        <v>0</v>
      </c>
      <c r="O25" s="55">
        <f>$L$25-EFEITO!$O$25*EFEITO!$AA$25</f>
        <v>0</v>
      </c>
      <c r="P25" s="39"/>
      <c r="Q25" s="39"/>
      <c r="R25" s="39"/>
      <c r="S25" s="39"/>
      <c r="T25" s="39"/>
      <c r="U25" s="39"/>
      <c r="V25" s="39"/>
      <c r="W25" s="39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1.25" customHeight="1" x14ac:dyDescent="0.2">
      <c r="A26" s="35" t="s">
        <v>21</v>
      </c>
      <c r="B26" s="35" t="s">
        <v>33</v>
      </c>
      <c r="C26" s="35" t="s">
        <v>37</v>
      </c>
      <c r="D26" s="35" t="s">
        <v>32</v>
      </c>
      <c r="E26" s="35" t="s">
        <v>25</v>
      </c>
      <c r="F26" s="35" t="s">
        <v>25</v>
      </c>
      <c r="G26" s="35" t="s">
        <v>25</v>
      </c>
      <c r="H26" s="35" t="s">
        <v>36</v>
      </c>
      <c r="I26" s="54">
        <v>44440</v>
      </c>
      <c r="J26" s="55">
        <f>EFEITO!$J$26*EFEITO!$Y$26</f>
        <v>0</v>
      </c>
      <c r="K26" s="55">
        <f ca="1">EFEITO!$L$26*EFEITO!$Z$26</f>
        <v>55693.79911646519</v>
      </c>
      <c r="L26" s="55">
        <f>EFEITO!$N$26*EFEITO!$AA$26</f>
        <v>135103.5520906063</v>
      </c>
      <c r="M26" s="55">
        <f>$J$26-EFEITO!$K$26*EFEITO!$Y$26</f>
        <v>0</v>
      </c>
      <c r="N26" s="55">
        <f ca="1">$K$26-EFEITO!$M$26*EFEITO!$Z$26</f>
        <v>0</v>
      </c>
      <c r="O26" s="55">
        <f>$L$26-EFEITO!$O$26*EFEITO!$AA$26</f>
        <v>0</v>
      </c>
      <c r="P26" s="39"/>
      <c r="Q26" s="39"/>
      <c r="R26" s="39"/>
      <c r="S26" s="39"/>
      <c r="T26" s="39"/>
      <c r="U26" s="39"/>
      <c r="V26" s="39"/>
      <c r="W26" s="39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1.25" customHeight="1" x14ac:dyDescent="0.2">
      <c r="A27" s="35" t="s">
        <v>21</v>
      </c>
      <c r="B27" s="35" t="s">
        <v>33</v>
      </c>
      <c r="C27" s="35" t="s">
        <v>37</v>
      </c>
      <c r="D27" s="35" t="s">
        <v>32</v>
      </c>
      <c r="E27" s="35" t="s">
        <v>25</v>
      </c>
      <c r="F27" s="35" t="s">
        <v>25</v>
      </c>
      <c r="G27" s="35" t="s">
        <v>25</v>
      </c>
      <c r="H27" s="35" t="s">
        <v>36</v>
      </c>
      <c r="I27" s="54">
        <v>44470</v>
      </c>
      <c r="J27" s="55">
        <f>EFEITO!$J$27*EFEITO!$Y$27</f>
        <v>0</v>
      </c>
      <c r="K27" s="55">
        <f ca="1">EFEITO!$L$27*EFEITO!$Z$27</f>
        <v>57232.282659353601</v>
      </c>
      <c r="L27" s="55">
        <f>EFEITO!$N$27*EFEITO!$AA$27</f>
        <v>138835.64784946278</v>
      </c>
      <c r="M27" s="55">
        <f>$J$27-EFEITO!$K$27*EFEITO!$Y$27</f>
        <v>0</v>
      </c>
      <c r="N27" s="55">
        <f ca="1">$K$27-EFEITO!$M$27*EFEITO!$Z$27</f>
        <v>0</v>
      </c>
      <c r="O27" s="55">
        <f>$L$27-EFEITO!$O$27*EFEITO!$AA$27</f>
        <v>0</v>
      </c>
      <c r="P27" s="39"/>
      <c r="Q27" s="39"/>
      <c r="R27" s="39"/>
      <c r="S27" s="39"/>
      <c r="T27" s="39"/>
      <c r="U27" s="39"/>
      <c r="V27" s="39"/>
      <c r="W27" s="39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1.25" customHeight="1" x14ac:dyDescent="0.2">
      <c r="A28" s="35" t="s">
        <v>21</v>
      </c>
      <c r="B28" s="35" t="s">
        <v>33</v>
      </c>
      <c r="C28" s="35" t="s">
        <v>37</v>
      </c>
      <c r="D28" s="35" t="s">
        <v>32</v>
      </c>
      <c r="E28" s="35" t="s">
        <v>25</v>
      </c>
      <c r="F28" s="35" t="s">
        <v>25</v>
      </c>
      <c r="G28" s="35" t="s">
        <v>25</v>
      </c>
      <c r="H28" s="35" t="s">
        <v>36</v>
      </c>
      <c r="I28" s="54">
        <v>44501</v>
      </c>
      <c r="J28" s="55">
        <f>EFEITO!$J$28*EFEITO!$Y$28</f>
        <v>0</v>
      </c>
      <c r="K28" s="55">
        <f ca="1">EFEITO!$L$28*EFEITO!$Z$28</f>
        <v>59565.928225924217</v>
      </c>
      <c r="L28" s="55">
        <f>EFEITO!$N$28*EFEITO!$AA$28</f>
        <v>144496.66954965016</v>
      </c>
      <c r="M28" s="55">
        <f>$J$28-EFEITO!$K$28*EFEITO!$Y$28</f>
        <v>0</v>
      </c>
      <c r="N28" s="55">
        <f ca="1">$K$28-EFEITO!$M$28*EFEITO!$Z$28</f>
        <v>0</v>
      </c>
      <c r="O28" s="55">
        <f>$L$28-EFEITO!$O$28*EFEITO!$AA$28</f>
        <v>0</v>
      </c>
      <c r="P28" s="39"/>
      <c r="Q28" s="39"/>
      <c r="R28" s="39"/>
      <c r="S28" s="39"/>
      <c r="T28" s="39"/>
      <c r="U28" s="39"/>
      <c r="V28" s="39"/>
      <c r="W28" s="39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1.25" customHeight="1" x14ac:dyDescent="0.2">
      <c r="A29" s="35" t="s">
        <v>21</v>
      </c>
      <c r="B29" s="35" t="s">
        <v>33</v>
      </c>
      <c r="C29" s="35" t="s">
        <v>37</v>
      </c>
      <c r="D29" s="35" t="s">
        <v>32</v>
      </c>
      <c r="E29" s="35" t="s">
        <v>25</v>
      </c>
      <c r="F29" s="35" t="s">
        <v>25</v>
      </c>
      <c r="G29" s="35" t="s">
        <v>25</v>
      </c>
      <c r="H29" s="35" t="s">
        <v>36</v>
      </c>
      <c r="I29" s="54">
        <v>44531</v>
      </c>
      <c r="J29" s="55">
        <f>EFEITO!$J$29*EFEITO!$Y$29</f>
        <v>0</v>
      </c>
      <c r="K29" s="55">
        <f ca="1">EFEITO!$L$29*EFEITO!$Z$29</f>
        <v>56678.494413125809</v>
      </c>
      <c r="L29" s="55">
        <f>EFEITO!$N$29*EFEITO!$AA$29</f>
        <v>137492.25306659038</v>
      </c>
      <c r="M29" s="55">
        <f>$J$29-EFEITO!$K$29*EFEITO!$Y$29</f>
        <v>0</v>
      </c>
      <c r="N29" s="55">
        <f ca="1">$K$29-EFEITO!$M$29*EFEITO!$Z$29</f>
        <v>0</v>
      </c>
      <c r="O29" s="55">
        <f>$L$29-EFEITO!$O$29*EFEITO!$AA$29</f>
        <v>0</v>
      </c>
      <c r="P29" s="39"/>
      <c r="Q29" s="39"/>
      <c r="R29" s="39"/>
      <c r="S29" s="39"/>
      <c r="T29" s="39"/>
      <c r="U29" s="39"/>
      <c r="V29" s="39"/>
      <c r="W29" s="39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1.25" customHeight="1" x14ac:dyDescent="0.2">
      <c r="A30" s="35" t="s">
        <v>21</v>
      </c>
      <c r="B30" s="35" t="s">
        <v>33</v>
      </c>
      <c r="C30" s="35" t="s">
        <v>37</v>
      </c>
      <c r="D30" s="35" t="s">
        <v>32</v>
      </c>
      <c r="E30" s="35" t="s">
        <v>25</v>
      </c>
      <c r="F30" s="35" t="s">
        <v>25</v>
      </c>
      <c r="G30" s="35" t="s">
        <v>25</v>
      </c>
      <c r="H30" s="35" t="s">
        <v>36</v>
      </c>
      <c r="I30" s="54">
        <v>44562</v>
      </c>
      <c r="J30" s="55">
        <f>EFEITO!$J$30*EFEITO!$Y$30</f>
        <v>0</v>
      </c>
      <c r="K30" s="55">
        <f ca="1">EFEITO!$L$30*EFEITO!$Z$30</f>
        <v>58125.274206473776</v>
      </c>
      <c r="L30" s="55">
        <f>EFEITO!$N$30*EFEITO!$AA$30</f>
        <v>141001.89134365376</v>
      </c>
      <c r="M30" s="55">
        <f>$J$30-EFEITO!$K$30*EFEITO!$Y$30</f>
        <v>0</v>
      </c>
      <c r="N30" s="55">
        <f ca="1">$K$30-EFEITO!$M$30*EFEITO!$Z$30</f>
        <v>0</v>
      </c>
      <c r="O30" s="55">
        <f>$L$30-EFEITO!$O$30*EFEITO!$AA$30</f>
        <v>0</v>
      </c>
      <c r="P30" s="39"/>
      <c r="Q30" s="39"/>
      <c r="R30" s="39"/>
      <c r="S30" s="39"/>
      <c r="T30" s="39"/>
      <c r="U30" s="39"/>
      <c r="V30" s="39"/>
      <c r="W30" s="39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1.25" customHeight="1" x14ac:dyDescent="0.2">
      <c r="A31" s="35" t="s">
        <v>21</v>
      </c>
      <c r="B31" s="35" t="s">
        <v>33</v>
      </c>
      <c r="C31" s="35" t="s">
        <v>37</v>
      </c>
      <c r="D31" s="35" t="s">
        <v>32</v>
      </c>
      <c r="E31" s="35" t="s">
        <v>25</v>
      </c>
      <c r="F31" s="35" t="s">
        <v>25</v>
      </c>
      <c r="G31" s="35" t="s">
        <v>25</v>
      </c>
      <c r="H31" s="35" t="s">
        <v>36</v>
      </c>
      <c r="I31" s="54">
        <v>44593</v>
      </c>
      <c r="J31" s="55">
        <f>EFEITO!$J$31*EFEITO!$Y$31</f>
        <v>0</v>
      </c>
      <c r="K31" s="55">
        <f ca="1">EFEITO!$L$31*EFEITO!$Z$31</f>
        <v>49942.703150769194</v>
      </c>
      <c r="L31" s="55">
        <f>EFEITO!$N$31*EFEITO!$AA$31</f>
        <v>121152.38507191073</v>
      </c>
      <c r="M31" s="55">
        <f>$J$31-EFEITO!$K$31*EFEITO!$Y$31</f>
        <v>0</v>
      </c>
      <c r="N31" s="55">
        <f ca="1">$K$31-EFEITO!$M$31*EFEITO!$Z$31</f>
        <v>0</v>
      </c>
      <c r="O31" s="55">
        <f>$L$31-EFEITO!$O$31*EFEITO!$AA$31</f>
        <v>0</v>
      </c>
      <c r="P31" s="39"/>
      <c r="Q31" s="39"/>
      <c r="R31" s="39"/>
      <c r="S31" s="39"/>
      <c r="T31" s="39"/>
      <c r="U31" s="39"/>
      <c r="V31" s="39"/>
      <c r="W31" s="39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1.25" customHeight="1" x14ac:dyDescent="0.2">
      <c r="A32" s="35" t="s">
        <v>21</v>
      </c>
      <c r="B32" s="35" t="s">
        <v>33</v>
      </c>
      <c r="C32" s="35" t="s">
        <v>37</v>
      </c>
      <c r="D32" s="35" t="s">
        <v>32</v>
      </c>
      <c r="E32" s="35" t="s">
        <v>25</v>
      </c>
      <c r="F32" s="35" t="s">
        <v>25</v>
      </c>
      <c r="G32" s="35" t="s">
        <v>25</v>
      </c>
      <c r="H32" s="35" t="s">
        <v>36</v>
      </c>
      <c r="I32" s="54">
        <v>44621</v>
      </c>
      <c r="J32" s="55">
        <f>EFEITO!$J$32*EFEITO!$Y$32</f>
        <v>0</v>
      </c>
      <c r="K32" s="55">
        <f ca="1">EFEITO!$L$32*EFEITO!$Z$32</f>
        <v>60164.242619735458</v>
      </c>
      <c r="L32" s="55">
        <f>EFEITO!$N$32*EFEITO!$AA$32</f>
        <v>145948.07708788969</v>
      </c>
      <c r="M32" s="55">
        <f>$J$32-EFEITO!$K$32*EFEITO!$Y$32</f>
        <v>0</v>
      </c>
      <c r="N32" s="55">
        <f ca="1">$K$32-EFEITO!$M$32*EFEITO!$Z$32</f>
        <v>0</v>
      </c>
      <c r="O32" s="55">
        <f>$L$32-EFEITO!$O$32*EFEITO!$AA$32</f>
        <v>0</v>
      </c>
      <c r="P32" s="39"/>
      <c r="Q32" s="39"/>
      <c r="R32" s="39"/>
      <c r="S32" s="39"/>
      <c r="T32" s="39"/>
      <c r="U32" s="39"/>
      <c r="V32" s="39"/>
      <c r="W32" s="39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1.25" customHeight="1" x14ac:dyDescent="0.2">
      <c r="A33" s="35" t="s">
        <v>21</v>
      </c>
      <c r="B33" s="35" t="s">
        <v>33</v>
      </c>
      <c r="C33" s="35" t="s">
        <v>37</v>
      </c>
      <c r="D33" s="35" t="s">
        <v>32</v>
      </c>
      <c r="E33" s="35" t="s">
        <v>25</v>
      </c>
      <c r="F33" s="35" t="s">
        <v>25</v>
      </c>
      <c r="G33" s="35" t="s">
        <v>25</v>
      </c>
      <c r="H33" s="35" t="s">
        <v>36</v>
      </c>
      <c r="I33" s="54">
        <v>44652</v>
      </c>
      <c r="J33" s="55">
        <f>EFEITO!$J$33*EFEITO!$Y$33</f>
        <v>0</v>
      </c>
      <c r="K33" s="55">
        <f ca="1">EFEITO!$L$33*EFEITO!$Z$33</f>
        <v>58526.649540952894</v>
      </c>
      <c r="L33" s="55">
        <f>EFEITO!$N$33*EFEITO!$AA$33</f>
        <v>141975.55868669649</v>
      </c>
      <c r="M33" s="55">
        <f>$J$33-EFEITO!$K$33*EFEITO!$Y$33</f>
        <v>0</v>
      </c>
      <c r="N33" s="55">
        <f ca="1">$K$33-EFEITO!$M$33*EFEITO!$Z$33</f>
        <v>0</v>
      </c>
      <c r="O33" s="55">
        <f>$L$33-EFEITO!$O$33*EFEITO!$AA$33</f>
        <v>0</v>
      </c>
      <c r="P33" s="39"/>
      <c r="Q33" s="39"/>
      <c r="R33" s="39"/>
      <c r="S33" s="39"/>
      <c r="T33" s="39"/>
      <c r="U33" s="39"/>
      <c r="V33" s="39"/>
      <c r="W33" s="39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1.25" customHeight="1" x14ac:dyDescent="0.2">
      <c r="A34" s="35" t="s">
        <v>21</v>
      </c>
      <c r="B34" s="35" t="s">
        <v>33</v>
      </c>
      <c r="C34" s="35" t="s">
        <v>37</v>
      </c>
      <c r="D34" s="35" t="s">
        <v>32</v>
      </c>
      <c r="E34" s="35" t="s">
        <v>25</v>
      </c>
      <c r="F34" s="35" t="s">
        <v>25</v>
      </c>
      <c r="G34" s="35" t="s">
        <v>25</v>
      </c>
      <c r="H34" s="35" t="s">
        <v>36</v>
      </c>
      <c r="I34" s="54">
        <v>44682</v>
      </c>
      <c r="J34" s="55">
        <f>EFEITO!$J$34*EFEITO!$Y$34</f>
        <v>0</v>
      </c>
      <c r="K34" s="55">
        <f ca="1">EFEITO!$L$34*EFEITO!$Z$34</f>
        <v>62297.657666372303</v>
      </c>
      <c r="L34" s="55">
        <f>EFEITO!$N$34*EFEITO!$AA$34</f>
        <v>151123.37407708311</v>
      </c>
      <c r="M34" s="55">
        <f>$J$34-EFEITO!$K$34*EFEITO!$Y$34</f>
        <v>0</v>
      </c>
      <c r="N34" s="55">
        <f ca="1">$K$34-EFEITO!$M$34*EFEITO!$Z$34</f>
        <v>0</v>
      </c>
      <c r="O34" s="55">
        <f>$L$34-EFEITO!$O$34*EFEITO!$AA$34</f>
        <v>0</v>
      </c>
      <c r="P34" s="39"/>
      <c r="Q34" s="39"/>
      <c r="R34" s="39"/>
      <c r="S34" s="39"/>
      <c r="T34" s="39"/>
      <c r="U34" s="39"/>
      <c r="V34" s="39"/>
      <c r="W34" s="39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1.25" customHeight="1" x14ac:dyDescent="0.2">
      <c r="A35" s="35" t="s">
        <v>21</v>
      </c>
      <c r="B35" s="35" t="s">
        <v>33</v>
      </c>
      <c r="C35" s="35" t="s">
        <v>37</v>
      </c>
      <c r="D35" s="35" t="s">
        <v>32</v>
      </c>
      <c r="E35" s="35" t="s">
        <v>25</v>
      </c>
      <c r="F35" s="35" t="s">
        <v>25</v>
      </c>
      <c r="G35" s="35" t="s">
        <v>25</v>
      </c>
      <c r="H35" s="35" t="s">
        <v>36</v>
      </c>
      <c r="I35" s="54">
        <v>44713</v>
      </c>
      <c r="J35" s="55">
        <f>EFEITO!$J$35*EFEITO!$Y$35</f>
        <v>0</v>
      </c>
      <c r="K35" s="55">
        <f ca="1">EFEITO!$L$35*EFEITO!$Z$35</f>
        <v>59021.64864365675</v>
      </c>
      <c r="L35" s="55">
        <f>EFEITO!$N$35*EFEITO!$AA$35</f>
        <v>143176.34114574734</v>
      </c>
      <c r="M35" s="55">
        <f>$J$35-EFEITO!$K$35*EFEITO!$Y$35</f>
        <v>0</v>
      </c>
      <c r="N35" s="55">
        <f ca="1">$K$35-EFEITO!$M$35*EFEITO!$Z$35</f>
        <v>0</v>
      </c>
      <c r="O35" s="55">
        <f>$L$35-EFEITO!$O$35*EFEITO!$AA$35</f>
        <v>0</v>
      </c>
      <c r="P35" s="39"/>
      <c r="Q35" s="39"/>
      <c r="R35" s="39"/>
      <c r="S35" s="39"/>
      <c r="T35" s="39"/>
      <c r="U35" s="39"/>
      <c r="V35" s="39"/>
      <c r="W35" s="39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1.25" customHeight="1" x14ac:dyDescent="0.2">
      <c r="A36" s="35" t="s">
        <v>21</v>
      </c>
      <c r="B36" s="35" t="s">
        <v>33</v>
      </c>
      <c r="C36" s="35" t="s">
        <v>37</v>
      </c>
      <c r="D36" s="35" t="s">
        <v>32</v>
      </c>
      <c r="E36" s="35" t="s">
        <v>25</v>
      </c>
      <c r="F36" s="35" t="s">
        <v>25</v>
      </c>
      <c r="G36" s="35" t="s">
        <v>25</v>
      </c>
      <c r="H36" s="35" t="s">
        <v>36</v>
      </c>
      <c r="I36" s="54">
        <v>44743</v>
      </c>
      <c r="J36" s="55">
        <f>EFEITO!$J$36*EFEITO!$Y$36</f>
        <v>0</v>
      </c>
      <c r="K36" s="55">
        <f ca="1">EFEITO!$L$36*EFEITO!$Z$36</f>
        <v>62963.812720362017</v>
      </c>
      <c r="L36" s="55">
        <f>EFEITO!$N$36*EFEITO!$AA$36</f>
        <v>152739.35135758633</v>
      </c>
      <c r="M36" s="55">
        <f>$J$36-EFEITO!$K$36*EFEITO!$Y$36</f>
        <v>0</v>
      </c>
      <c r="N36" s="55">
        <f ca="1">$K$36-EFEITO!$M$36*EFEITO!$Z$36</f>
        <v>0</v>
      </c>
      <c r="O36" s="55">
        <f>$L$36-EFEITO!$O$36*EFEITO!$AA$36</f>
        <v>0</v>
      </c>
      <c r="P36" s="39"/>
      <c r="Q36" s="39"/>
      <c r="R36" s="39"/>
      <c r="S36" s="39"/>
      <c r="T36" s="39"/>
      <c r="U36" s="39"/>
      <c r="V36" s="39"/>
      <c r="W36" s="39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1.25" customHeight="1" x14ac:dyDescent="0.2">
      <c r="A37" s="35" t="s">
        <v>21</v>
      </c>
      <c r="B37" s="35" t="s">
        <v>33</v>
      </c>
      <c r="C37" s="35" t="s">
        <v>37</v>
      </c>
      <c r="D37" s="35" t="s">
        <v>32</v>
      </c>
      <c r="E37" s="35" t="s">
        <v>25</v>
      </c>
      <c r="F37" s="35" t="s">
        <v>25</v>
      </c>
      <c r="G37" s="35" t="s">
        <v>25</v>
      </c>
      <c r="H37" s="35" t="s">
        <v>36</v>
      </c>
      <c r="I37" s="54">
        <v>44774</v>
      </c>
      <c r="J37" s="55">
        <f>EFEITO!$J$37*EFEITO!$Y$37</f>
        <v>0</v>
      </c>
      <c r="K37" s="55">
        <f ca="1">EFEITO!$L$37*EFEITO!$Z$37</f>
        <v>64012.051492526727</v>
      </c>
      <c r="L37" s="55">
        <f>EFEITO!$N$37*EFEITO!$AA$37</f>
        <v>155282.19784687675</v>
      </c>
      <c r="M37" s="55">
        <f>$J$37-EFEITO!$K$37*EFEITO!$Y$37</f>
        <v>0</v>
      </c>
      <c r="N37" s="55">
        <f ca="1">$K$37-EFEITO!$M$37*EFEITO!$Z$37</f>
        <v>0</v>
      </c>
      <c r="O37" s="55">
        <f>$L$37-EFEITO!$O$37*EFEITO!$AA$37</f>
        <v>0</v>
      </c>
      <c r="P37" s="39"/>
      <c r="Q37" s="39"/>
      <c r="R37" s="39"/>
      <c r="S37" s="39"/>
      <c r="T37" s="39"/>
      <c r="U37" s="39"/>
      <c r="V37" s="39"/>
      <c r="W37" s="39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1.25" customHeight="1" x14ac:dyDescent="0.2">
      <c r="A38" s="35" t="s">
        <v>21</v>
      </c>
      <c r="B38" s="35" t="s">
        <v>33</v>
      </c>
      <c r="C38" s="35" t="s">
        <v>37</v>
      </c>
      <c r="D38" s="35" t="s">
        <v>32</v>
      </c>
      <c r="E38" s="35" t="s">
        <v>25</v>
      </c>
      <c r="F38" s="35" t="s">
        <v>25</v>
      </c>
      <c r="G38" s="35" t="s">
        <v>25</v>
      </c>
      <c r="H38" s="35" t="s">
        <v>25</v>
      </c>
      <c r="I38" s="54">
        <v>44440</v>
      </c>
      <c r="J38" s="55">
        <f ca="1">EFEITO!$J$38*EFEITO!$Y$38</f>
        <v>57709.983891708907</v>
      </c>
      <c r="K38" s="55">
        <f>EFEITO!$L$38*EFEITO!$Z$38</f>
        <v>0</v>
      </c>
      <c r="L38" s="55">
        <f>EFEITO!$N$38*EFEITO!$AA$38</f>
        <v>0</v>
      </c>
      <c r="M38" s="55">
        <f ca="1">$J$38-EFEITO!$K$38*EFEITO!$Y$38</f>
        <v>0</v>
      </c>
      <c r="N38" s="55">
        <f>$K$38-EFEITO!$M$38*EFEITO!$Z$38</f>
        <v>0</v>
      </c>
      <c r="O38" s="55">
        <f>$L$38-EFEITO!$O$38*EFEITO!$AA$38</f>
        <v>0</v>
      </c>
      <c r="P38" s="39"/>
      <c r="Q38" s="39"/>
      <c r="R38" s="39"/>
      <c r="S38" s="39"/>
      <c r="T38" s="39"/>
      <c r="U38" s="39"/>
      <c r="V38" s="39"/>
      <c r="W38" s="39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1.25" customHeight="1" x14ac:dyDescent="0.2">
      <c r="A39" s="35" t="s">
        <v>21</v>
      </c>
      <c r="B39" s="35" t="s">
        <v>33</v>
      </c>
      <c r="C39" s="35" t="s">
        <v>37</v>
      </c>
      <c r="D39" s="35" t="s">
        <v>32</v>
      </c>
      <c r="E39" s="35" t="s">
        <v>25</v>
      </c>
      <c r="F39" s="35" t="s">
        <v>25</v>
      </c>
      <c r="G39" s="35" t="s">
        <v>25</v>
      </c>
      <c r="H39" s="35" t="s">
        <v>25</v>
      </c>
      <c r="I39" s="54">
        <v>44470</v>
      </c>
      <c r="J39" s="55">
        <f ca="1">EFEITO!$J$39*EFEITO!$Y$39</f>
        <v>57521.389173108553</v>
      </c>
      <c r="K39" s="55">
        <f>EFEITO!$L$39*EFEITO!$Z$39</f>
        <v>0</v>
      </c>
      <c r="L39" s="55">
        <f>EFEITO!$N$39*EFEITO!$AA$39</f>
        <v>0</v>
      </c>
      <c r="M39" s="55">
        <f ca="1">$J$39-EFEITO!$K$39*EFEITO!$Y$39</f>
        <v>0</v>
      </c>
      <c r="N39" s="55">
        <f>$K$39-EFEITO!$M$39*EFEITO!$Z$39</f>
        <v>0</v>
      </c>
      <c r="O39" s="55">
        <f>$L$39-EFEITO!$O$39*EFEITO!$AA$39</f>
        <v>0</v>
      </c>
      <c r="P39" s="39"/>
      <c r="Q39" s="39"/>
      <c r="R39" s="39"/>
      <c r="S39" s="39"/>
      <c r="T39" s="39"/>
      <c r="U39" s="39"/>
      <c r="V39" s="39"/>
      <c r="W39" s="39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1.25" customHeight="1" x14ac:dyDescent="0.2">
      <c r="A40" s="35" t="s">
        <v>21</v>
      </c>
      <c r="B40" s="35" t="s">
        <v>33</v>
      </c>
      <c r="C40" s="35" t="s">
        <v>37</v>
      </c>
      <c r="D40" s="35" t="s">
        <v>32</v>
      </c>
      <c r="E40" s="35" t="s">
        <v>25</v>
      </c>
      <c r="F40" s="35" t="s">
        <v>25</v>
      </c>
      <c r="G40" s="35" t="s">
        <v>25</v>
      </c>
      <c r="H40" s="35" t="s">
        <v>25</v>
      </c>
      <c r="I40" s="54">
        <v>44501</v>
      </c>
      <c r="J40" s="55">
        <f ca="1">EFEITO!$J$40*EFEITO!$Y$40</f>
        <v>57521.389173108553</v>
      </c>
      <c r="K40" s="55">
        <f>EFEITO!$L$40*EFEITO!$Z$40</f>
        <v>0</v>
      </c>
      <c r="L40" s="55">
        <f>EFEITO!$N$40*EFEITO!$AA$40</f>
        <v>0</v>
      </c>
      <c r="M40" s="55">
        <f ca="1">$J$40-EFEITO!$K$40*EFEITO!$Y$40</f>
        <v>0</v>
      </c>
      <c r="N40" s="55">
        <f>$K$40-EFEITO!$M$40*EFEITO!$Z$40</f>
        <v>0</v>
      </c>
      <c r="O40" s="55">
        <f>$L$40-EFEITO!$O$40*EFEITO!$AA$40</f>
        <v>0</v>
      </c>
      <c r="P40" s="39"/>
      <c r="Q40" s="39"/>
      <c r="R40" s="39"/>
      <c r="S40" s="39"/>
      <c r="T40" s="39"/>
      <c r="U40" s="39"/>
      <c r="V40" s="39"/>
      <c r="W40" s="39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1.25" customHeight="1" x14ac:dyDescent="0.2">
      <c r="A41" s="35" t="s">
        <v>21</v>
      </c>
      <c r="B41" s="35" t="s">
        <v>33</v>
      </c>
      <c r="C41" s="35" t="s">
        <v>37</v>
      </c>
      <c r="D41" s="35" t="s">
        <v>32</v>
      </c>
      <c r="E41" s="35" t="s">
        <v>25</v>
      </c>
      <c r="F41" s="35" t="s">
        <v>25</v>
      </c>
      <c r="G41" s="35" t="s">
        <v>25</v>
      </c>
      <c r="H41" s="35" t="s">
        <v>25</v>
      </c>
      <c r="I41" s="54">
        <v>44531</v>
      </c>
      <c r="J41" s="55">
        <f ca="1">EFEITO!$J$41*EFEITO!$Y$41</f>
        <v>57521.389173108553</v>
      </c>
      <c r="K41" s="55">
        <f>EFEITO!$L$41*EFEITO!$Z$41</f>
        <v>0</v>
      </c>
      <c r="L41" s="55">
        <f>EFEITO!$N$41*EFEITO!$AA$41</f>
        <v>0</v>
      </c>
      <c r="M41" s="55">
        <f ca="1">$J$41-EFEITO!$K$41*EFEITO!$Y$41</f>
        <v>0</v>
      </c>
      <c r="N41" s="55">
        <f>$K$41-EFEITO!$M$41*EFEITO!$Z$41</f>
        <v>0</v>
      </c>
      <c r="O41" s="55">
        <f>$L$41-EFEITO!$O$41*EFEITO!$AA$41</f>
        <v>0</v>
      </c>
      <c r="P41" s="39"/>
      <c r="Q41" s="39"/>
      <c r="R41" s="39"/>
      <c r="S41" s="39"/>
      <c r="T41" s="39"/>
      <c r="U41" s="39"/>
      <c r="V41" s="39"/>
      <c r="W41" s="39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1.25" customHeight="1" x14ac:dyDescent="0.2">
      <c r="A42" s="35" t="s">
        <v>21</v>
      </c>
      <c r="B42" s="35" t="s">
        <v>33</v>
      </c>
      <c r="C42" s="35" t="s">
        <v>37</v>
      </c>
      <c r="D42" s="35" t="s">
        <v>32</v>
      </c>
      <c r="E42" s="35" t="s">
        <v>25</v>
      </c>
      <c r="F42" s="35" t="s">
        <v>25</v>
      </c>
      <c r="G42" s="35" t="s">
        <v>25</v>
      </c>
      <c r="H42" s="35" t="s">
        <v>25</v>
      </c>
      <c r="I42" s="54">
        <v>44562</v>
      </c>
      <c r="J42" s="55">
        <f ca="1">EFEITO!$J$42*EFEITO!$Y$42</f>
        <v>57521.389173108553</v>
      </c>
      <c r="K42" s="55">
        <f>EFEITO!$L$42*EFEITO!$Z$42</f>
        <v>0</v>
      </c>
      <c r="L42" s="55">
        <f>EFEITO!$N$42*EFEITO!$AA$42</f>
        <v>0</v>
      </c>
      <c r="M42" s="55">
        <f ca="1">$J$42-EFEITO!$K$42*EFEITO!$Y$42</f>
        <v>0</v>
      </c>
      <c r="N42" s="55">
        <f>$K$42-EFEITO!$M$42*EFEITO!$Z$42</f>
        <v>0</v>
      </c>
      <c r="O42" s="55">
        <f>$L$42-EFEITO!$O$42*EFEITO!$AA$42</f>
        <v>0</v>
      </c>
      <c r="P42" s="39"/>
      <c r="Q42" s="39"/>
      <c r="R42" s="39"/>
      <c r="S42" s="39"/>
      <c r="T42" s="39"/>
      <c r="U42" s="39"/>
      <c r="V42" s="39"/>
      <c r="W42" s="39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1.25" customHeight="1" x14ac:dyDescent="0.2">
      <c r="A43" s="35" t="s">
        <v>21</v>
      </c>
      <c r="B43" s="35" t="s">
        <v>33</v>
      </c>
      <c r="C43" s="35" t="s">
        <v>37</v>
      </c>
      <c r="D43" s="35" t="s">
        <v>32</v>
      </c>
      <c r="E43" s="35" t="s">
        <v>25</v>
      </c>
      <c r="F43" s="35" t="s">
        <v>25</v>
      </c>
      <c r="G43" s="35" t="s">
        <v>25</v>
      </c>
      <c r="H43" s="35" t="s">
        <v>25</v>
      </c>
      <c r="I43" s="54">
        <v>44593</v>
      </c>
      <c r="J43" s="55">
        <f ca="1">EFEITO!$J$43*EFEITO!$Y$43</f>
        <v>57521.389173108553</v>
      </c>
      <c r="K43" s="55">
        <f>EFEITO!$L$43*EFEITO!$Z$43</f>
        <v>0</v>
      </c>
      <c r="L43" s="55">
        <f>EFEITO!$N$43*EFEITO!$AA$43</f>
        <v>0</v>
      </c>
      <c r="M43" s="55">
        <f ca="1">$J$43-EFEITO!$K$43*EFEITO!$Y$43</f>
        <v>0</v>
      </c>
      <c r="N43" s="55">
        <f>$K$43-EFEITO!$M$43*EFEITO!$Z$43</f>
        <v>0</v>
      </c>
      <c r="O43" s="55">
        <f>$L$43-EFEITO!$O$43*EFEITO!$AA$43</f>
        <v>0</v>
      </c>
      <c r="P43" s="39"/>
      <c r="Q43" s="39"/>
      <c r="R43" s="39"/>
      <c r="S43" s="39"/>
      <c r="T43" s="39"/>
      <c r="U43" s="39"/>
      <c r="V43" s="39"/>
      <c r="W43" s="39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1.25" customHeight="1" x14ac:dyDescent="0.2">
      <c r="A44" s="35" t="s">
        <v>21</v>
      </c>
      <c r="B44" s="35" t="s">
        <v>33</v>
      </c>
      <c r="C44" s="35" t="s">
        <v>37</v>
      </c>
      <c r="D44" s="35" t="s">
        <v>32</v>
      </c>
      <c r="E44" s="35" t="s">
        <v>25</v>
      </c>
      <c r="F44" s="35" t="s">
        <v>25</v>
      </c>
      <c r="G44" s="35" t="s">
        <v>25</v>
      </c>
      <c r="H44" s="35" t="s">
        <v>25</v>
      </c>
      <c r="I44" s="54">
        <v>44621</v>
      </c>
      <c r="J44" s="55">
        <f ca="1">EFEITO!$J$44*EFEITO!$Y$44</f>
        <v>57521.389173108553</v>
      </c>
      <c r="K44" s="55">
        <f>EFEITO!$L$44*EFEITO!$Z$44</f>
        <v>0</v>
      </c>
      <c r="L44" s="55">
        <f>EFEITO!$N$44*EFEITO!$AA$44</f>
        <v>0</v>
      </c>
      <c r="M44" s="55">
        <f ca="1">$J$44-EFEITO!$K$44*EFEITO!$Y$44</f>
        <v>0</v>
      </c>
      <c r="N44" s="55">
        <f>$K$44-EFEITO!$M$44*EFEITO!$Z$44</f>
        <v>0</v>
      </c>
      <c r="O44" s="55">
        <f>$L$44-EFEITO!$O$44*EFEITO!$AA$44</f>
        <v>0</v>
      </c>
      <c r="P44" s="39"/>
      <c r="Q44" s="39"/>
      <c r="R44" s="39"/>
      <c r="S44" s="39"/>
      <c r="T44" s="39"/>
      <c r="U44" s="39"/>
      <c r="V44" s="39"/>
      <c r="W44" s="39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1.25" customHeight="1" x14ac:dyDescent="0.2">
      <c r="A45" s="35" t="s">
        <v>21</v>
      </c>
      <c r="B45" s="35" t="s">
        <v>33</v>
      </c>
      <c r="C45" s="35" t="s">
        <v>37</v>
      </c>
      <c r="D45" s="35" t="s">
        <v>32</v>
      </c>
      <c r="E45" s="35" t="s">
        <v>25</v>
      </c>
      <c r="F45" s="35" t="s">
        <v>25</v>
      </c>
      <c r="G45" s="35" t="s">
        <v>25</v>
      </c>
      <c r="H45" s="35" t="s">
        <v>25</v>
      </c>
      <c r="I45" s="54">
        <v>44652</v>
      </c>
      <c r="J45" s="55">
        <f ca="1">EFEITO!$J$45*EFEITO!$Y$45</f>
        <v>57521.389173108553</v>
      </c>
      <c r="K45" s="55">
        <f>EFEITO!$L$45*EFEITO!$Z$45</f>
        <v>0</v>
      </c>
      <c r="L45" s="55">
        <f>EFEITO!$N$45*EFEITO!$AA$45</f>
        <v>0</v>
      </c>
      <c r="M45" s="55">
        <f ca="1">$J$45-EFEITO!$K$45*EFEITO!$Y$45</f>
        <v>0</v>
      </c>
      <c r="N45" s="55">
        <f>$K$45-EFEITO!$M$45*EFEITO!$Z$45</f>
        <v>0</v>
      </c>
      <c r="O45" s="55">
        <f>$L$45-EFEITO!$O$45*EFEITO!$AA$45</f>
        <v>0</v>
      </c>
      <c r="P45" s="39"/>
      <c r="Q45" s="39"/>
      <c r="R45" s="39"/>
      <c r="S45" s="39"/>
      <c r="T45" s="39"/>
      <c r="U45" s="39"/>
      <c r="V45" s="39"/>
      <c r="W45" s="39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1.25" customHeight="1" x14ac:dyDescent="0.2">
      <c r="A46" s="35" t="s">
        <v>21</v>
      </c>
      <c r="B46" s="35" t="s">
        <v>33</v>
      </c>
      <c r="C46" s="35" t="s">
        <v>37</v>
      </c>
      <c r="D46" s="35" t="s">
        <v>32</v>
      </c>
      <c r="E46" s="35" t="s">
        <v>25</v>
      </c>
      <c r="F46" s="35" t="s">
        <v>25</v>
      </c>
      <c r="G46" s="35" t="s">
        <v>25</v>
      </c>
      <c r="H46" s="35" t="s">
        <v>25</v>
      </c>
      <c r="I46" s="54">
        <v>44682</v>
      </c>
      <c r="J46" s="55">
        <f ca="1">EFEITO!$J$46*EFEITO!$Y$46</f>
        <v>57521.389173108553</v>
      </c>
      <c r="K46" s="55">
        <f>EFEITO!$L$46*EFEITO!$Z$46</f>
        <v>0</v>
      </c>
      <c r="L46" s="55">
        <f>EFEITO!$N$46*EFEITO!$AA$46</f>
        <v>0</v>
      </c>
      <c r="M46" s="55">
        <f ca="1">$J$46-EFEITO!$K$46*EFEITO!$Y$46</f>
        <v>0</v>
      </c>
      <c r="N46" s="55">
        <f>$K$46-EFEITO!$M$46*EFEITO!$Z$46</f>
        <v>0</v>
      </c>
      <c r="O46" s="55">
        <f>$L$46-EFEITO!$O$46*EFEITO!$AA$46</f>
        <v>0</v>
      </c>
      <c r="P46" s="39"/>
      <c r="Q46" s="39"/>
      <c r="R46" s="39"/>
      <c r="S46" s="39"/>
      <c r="T46" s="39"/>
      <c r="U46" s="39"/>
      <c r="V46" s="39"/>
      <c r="W46" s="39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1.25" customHeight="1" x14ac:dyDescent="0.2">
      <c r="A47" s="35" t="s">
        <v>21</v>
      </c>
      <c r="B47" s="35" t="s">
        <v>33</v>
      </c>
      <c r="C47" s="35" t="s">
        <v>37</v>
      </c>
      <c r="D47" s="35" t="s">
        <v>32</v>
      </c>
      <c r="E47" s="35" t="s">
        <v>25</v>
      </c>
      <c r="F47" s="35" t="s">
        <v>25</v>
      </c>
      <c r="G47" s="35" t="s">
        <v>25</v>
      </c>
      <c r="H47" s="35" t="s">
        <v>25</v>
      </c>
      <c r="I47" s="54">
        <v>44713</v>
      </c>
      <c r="J47" s="55">
        <f ca="1">EFEITO!$J$47*EFEITO!$Y$47</f>
        <v>57521.389173108553</v>
      </c>
      <c r="K47" s="55">
        <f>EFEITO!$L$47*EFEITO!$Z$47</f>
        <v>0</v>
      </c>
      <c r="L47" s="55">
        <f>EFEITO!$N$47*EFEITO!$AA$47</f>
        <v>0</v>
      </c>
      <c r="M47" s="55">
        <f ca="1">$J$47-EFEITO!$K$47*EFEITO!$Y$47</f>
        <v>0</v>
      </c>
      <c r="N47" s="55">
        <f>$K$47-EFEITO!$M$47*EFEITO!$Z$47</f>
        <v>0</v>
      </c>
      <c r="O47" s="55">
        <f>$L$47-EFEITO!$O$47*EFEITO!$AA$47</f>
        <v>0</v>
      </c>
      <c r="P47" s="39"/>
      <c r="Q47" s="39"/>
      <c r="R47" s="39"/>
      <c r="S47" s="39"/>
      <c r="T47" s="39"/>
      <c r="U47" s="39"/>
      <c r="V47" s="39"/>
      <c r="W47" s="39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1.25" customHeight="1" x14ac:dyDescent="0.2">
      <c r="A48" s="35" t="s">
        <v>21</v>
      </c>
      <c r="B48" s="35" t="s">
        <v>33</v>
      </c>
      <c r="C48" s="35" t="s">
        <v>37</v>
      </c>
      <c r="D48" s="35" t="s">
        <v>32</v>
      </c>
      <c r="E48" s="35" t="s">
        <v>25</v>
      </c>
      <c r="F48" s="35" t="s">
        <v>25</v>
      </c>
      <c r="G48" s="35" t="s">
        <v>25</v>
      </c>
      <c r="H48" s="35" t="s">
        <v>25</v>
      </c>
      <c r="I48" s="54">
        <v>44743</v>
      </c>
      <c r="J48" s="55">
        <f ca="1">EFEITO!$J$48*EFEITO!$Y$48</f>
        <v>57634.546004268763</v>
      </c>
      <c r="K48" s="55">
        <f>EFEITO!$L$48*EFEITO!$Z$48</f>
        <v>0</v>
      </c>
      <c r="L48" s="55">
        <f>EFEITO!$N$48*EFEITO!$AA$48</f>
        <v>0</v>
      </c>
      <c r="M48" s="55">
        <f ca="1">$J$48-EFEITO!$K$48*EFEITO!$Y$48</f>
        <v>0</v>
      </c>
      <c r="N48" s="55">
        <f>$K$48-EFEITO!$M$48*EFEITO!$Z$48</f>
        <v>0</v>
      </c>
      <c r="O48" s="55">
        <f>$L$48-EFEITO!$O$48*EFEITO!$AA$48</f>
        <v>0</v>
      </c>
      <c r="P48" s="39"/>
      <c r="Q48" s="39"/>
      <c r="R48" s="39"/>
      <c r="S48" s="39"/>
      <c r="T48" s="39"/>
      <c r="U48" s="39"/>
      <c r="V48" s="39"/>
      <c r="W48" s="39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1.25" customHeight="1" x14ac:dyDescent="0.2">
      <c r="A49" s="35" t="s">
        <v>21</v>
      </c>
      <c r="B49" s="35" t="s">
        <v>33</v>
      </c>
      <c r="C49" s="35" t="s">
        <v>37</v>
      </c>
      <c r="D49" s="35" t="s">
        <v>32</v>
      </c>
      <c r="E49" s="35" t="s">
        <v>25</v>
      </c>
      <c r="F49" s="35" t="s">
        <v>25</v>
      </c>
      <c r="G49" s="35" t="s">
        <v>25</v>
      </c>
      <c r="H49" s="35" t="s">
        <v>25</v>
      </c>
      <c r="I49" s="54">
        <v>44774</v>
      </c>
      <c r="J49" s="55">
        <f ca="1">EFEITO!$J$49*EFEITO!$Y$49</f>
        <v>57521.389173108553</v>
      </c>
      <c r="K49" s="55">
        <f>EFEITO!$L$49*EFEITO!$Z$49</f>
        <v>0</v>
      </c>
      <c r="L49" s="55">
        <f>EFEITO!$N$49*EFEITO!$AA$49</f>
        <v>0</v>
      </c>
      <c r="M49" s="55">
        <f ca="1">$J$49-EFEITO!$K$49*EFEITO!$Y$49</f>
        <v>0</v>
      </c>
      <c r="N49" s="55">
        <f>$K$49-EFEITO!$M$49*EFEITO!$Z$49</f>
        <v>0</v>
      </c>
      <c r="O49" s="55">
        <f>$L$49-EFEITO!$O$49*EFEITO!$AA$49</f>
        <v>0</v>
      </c>
      <c r="P49" s="39"/>
      <c r="Q49" s="39"/>
      <c r="R49" s="39"/>
      <c r="S49" s="39"/>
      <c r="T49" s="39"/>
      <c r="U49" s="39"/>
      <c r="V49" s="39"/>
      <c r="W49" s="39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1.25" customHeight="1" x14ac:dyDescent="0.2">
      <c r="A50" s="35" t="s">
        <v>21</v>
      </c>
      <c r="B50" s="35" t="s">
        <v>33</v>
      </c>
      <c r="C50" s="35" t="s">
        <v>37</v>
      </c>
      <c r="D50" s="35" t="s">
        <v>32</v>
      </c>
      <c r="E50" s="35" t="s">
        <v>25</v>
      </c>
      <c r="F50" s="35" t="s">
        <v>25</v>
      </c>
      <c r="G50" s="35" t="s">
        <v>25</v>
      </c>
      <c r="H50" s="35" t="s">
        <v>35</v>
      </c>
      <c r="I50" s="54">
        <v>44440</v>
      </c>
      <c r="J50" s="55">
        <f>EFEITO!$J$50*EFEITO!$Y$50</f>
        <v>0</v>
      </c>
      <c r="K50" s="55">
        <f ca="1">EFEITO!$L$50*EFEITO!$Z$50</f>
        <v>60110.979766850483</v>
      </c>
      <c r="L50" s="55">
        <f>EFEITO!$N$50*EFEITO!$AA$50</f>
        <v>9652.392430346119</v>
      </c>
      <c r="M50" s="55">
        <f>$J$50-EFEITO!$K$50*EFEITO!$Y$50</f>
        <v>0</v>
      </c>
      <c r="N50" s="55">
        <f ca="1">$K$50-EFEITO!$M$50*EFEITO!$Z$50</f>
        <v>0</v>
      </c>
      <c r="O50" s="55">
        <f>$L$50-EFEITO!$O$50*EFEITO!$AA$50</f>
        <v>0</v>
      </c>
      <c r="P50" s="39"/>
      <c r="Q50" s="39"/>
      <c r="R50" s="39"/>
      <c r="S50" s="39"/>
      <c r="T50" s="39"/>
      <c r="U50" s="39"/>
      <c r="V50" s="39"/>
      <c r="W50" s="39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1.25" customHeight="1" x14ac:dyDescent="0.2">
      <c r="A51" s="35" t="s">
        <v>21</v>
      </c>
      <c r="B51" s="35" t="s">
        <v>33</v>
      </c>
      <c r="C51" s="35" t="s">
        <v>37</v>
      </c>
      <c r="D51" s="35" t="s">
        <v>32</v>
      </c>
      <c r="E51" s="35" t="s">
        <v>25</v>
      </c>
      <c r="F51" s="35" t="s">
        <v>25</v>
      </c>
      <c r="G51" s="35" t="s">
        <v>25</v>
      </c>
      <c r="H51" s="35" t="s">
        <v>35</v>
      </c>
      <c r="I51" s="54">
        <v>44470</v>
      </c>
      <c r="J51" s="55">
        <f>EFEITO!$J$51*EFEITO!$Y$51</f>
        <v>0</v>
      </c>
      <c r="K51" s="55">
        <f ca="1">EFEITO!$L$51*EFEITO!$Z$51</f>
        <v>58918.981248036318</v>
      </c>
      <c r="L51" s="55">
        <f>EFEITO!$N$51*EFEITO!$AA$51</f>
        <v>9460.9858433197223</v>
      </c>
      <c r="M51" s="55">
        <f>$J$51-EFEITO!$K$51*EFEITO!$Y$51</f>
        <v>0</v>
      </c>
      <c r="N51" s="55">
        <f ca="1">$K$51-EFEITO!$M$51*EFEITO!$Z$51</f>
        <v>0</v>
      </c>
      <c r="O51" s="55">
        <f>$L$51-EFEITO!$O$51*EFEITO!$AA$51</f>
        <v>0</v>
      </c>
      <c r="P51" s="39"/>
      <c r="Q51" s="39"/>
      <c r="R51" s="39"/>
      <c r="S51" s="39"/>
      <c r="T51" s="39"/>
      <c r="U51" s="39"/>
      <c r="V51" s="39"/>
      <c r="W51" s="39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1.25" customHeight="1" x14ac:dyDescent="0.2">
      <c r="A52" s="35" t="s">
        <v>21</v>
      </c>
      <c r="B52" s="35" t="s">
        <v>33</v>
      </c>
      <c r="C52" s="35" t="s">
        <v>37</v>
      </c>
      <c r="D52" s="35" t="s">
        <v>32</v>
      </c>
      <c r="E52" s="35" t="s">
        <v>25</v>
      </c>
      <c r="F52" s="35" t="s">
        <v>25</v>
      </c>
      <c r="G52" s="35" t="s">
        <v>25</v>
      </c>
      <c r="H52" s="35" t="s">
        <v>35</v>
      </c>
      <c r="I52" s="54">
        <v>44501</v>
      </c>
      <c r="J52" s="55">
        <f>EFEITO!$J$52*EFEITO!$Y$52</f>
        <v>0</v>
      </c>
      <c r="K52" s="55">
        <f ca="1">EFEITO!$L$52*EFEITO!$Z$52</f>
        <v>61657.953510850304</v>
      </c>
      <c r="L52" s="55">
        <f>EFEITO!$N$52*EFEITO!$AA$52</f>
        <v>9900.7995884800257</v>
      </c>
      <c r="M52" s="55">
        <f>$J$52-EFEITO!$K$52*EFEITO!$Y$52</f>
        <v>0</v>
      </c>
      <c r="N52" s="55">
        <f ca="1">$K$52-EFEITO!$M$52*EFEITO!$Z$52</f>
        <v>0</v>
      </c>
      <c r="O52" s="55">
        <f>$L$52-EFEITO!$O$52*EFEITO!$AA$52</f>
        <v>0</v>
      </c>
      <c r="P52" s="39"/>
      <c r="Q52" s="39"/>
      <c r="R52" s="39"/>
      <c r="S52" s="39"/>
      <c r="T52" s="39"/>
      <c r="U52" s="39"/>
      <c r="V52" s="39"/>
      <c r="W52" s="39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1.25" customHeight="1" x14ac:dyDescent="0.2">
      <c r="A53" s="35" t="s">
        <v>21</v>
      </c>
      <c r="B53" s="35" t="s">
        <v>33</v>
      </c>
      <c r="C53" s="35" t="s">
        <v>37</v>
      </c>
      <c r="D53" s="35" t="s">
        <v>32</v>
      </c>
      <c r="E53" s="35" t="s">
        <v>25</v>
      </c>
      <c r="F53" s="35" t="s">
        <v>25</v>
      </c>
      <c r="G53" s="35" t="s">
        <v>25</v>
      </c>
      <c r="H53" s="35" t="s">
        <v>35</v>
      </c>
      <c r="I53" s="54">
        <v>44531</v>
      </c>
      <c r="J53" s="55">
        <f>EFEITO!$J$53*EFEITO!$Y$53</f>
        <v>0</v>
      </c>
      <c r="K53" s="55">
        <f ca="1">EFEITO!$L$53*EFEITO!$Z$53</f>
        <v>65225.661707949912</v>
      </c>
      <c r="L53" s="55">
        <f>EFEITO!$N$53*EFEITO!$AA$53</f>
        <v>10473.688596926349</v>
      </c>
      <c r="M53" s="55">
        <f>$J$53-EFEITO!$K$53*EFEITO!$Y$53</f>
        <v>0</v>
      </c>
      <c r="N53" s="55">
        <f ca="1">$K$53-EFEITO!$M$53*EFEITO!$Z$53</f>
        <v>0</v>
      </c>
      <c r="O53" s="55">
        <f>$L$53-EFEITO!$O$53*EFEITO!$AA$53</f>
        <v>0</v>
      </c>
      <c r="P53" s="39"/>
      <c r="Q53" s="39"/>
      <c r="R53" s="39"/>
      <c r="S53" s="39"/>
      <c r="T53" s="39"/>
      <c r="U53" s="39"/>
      <c r="V53" s="39"/>
      <c r="W53" s="39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1.25" customHeight="1" x14ac:dyDescent="0.2">
      <c r="A54" s="35" t="s">
        <v>21</v>
      </c>
      <c r="B54" s="35" t="s">
        <v>33</v>
      </c>
      <c r="C54" s="35" t="s">
        <v>37</v>
      </c>
      <c r="D54" s="35" t="s">
        <v>32</v>
      </c>
      <c r="E54" s="35" t="s">
        <v>25</v>
      </c>
      <c r="F54" s="35" t="s">
        <v>25</v>
      </c>
      <c r="G54" s="35" t="s">
        <v>25</v>
      </c>
      <c r="H54" s="35" t="s">
        <v>35</v>
      </c>
      <c r="I54" s="54">
        <v>44562</v>
      </c>
      <c r="J54" s="55">
        <f>EFEITO!$J$54*EFEITO!$Y$54</f>
        <v>0</v>
      </c>
      <c r="K54" s="55">
        <f ca="1">EFEITO!$L$54*EFEITO!$Z$54</f>
        <v>61939.723728507422</v>
      </c>
      <c r="L54" s="55">
        <f>EFEITO!$N$54*EFEITO!$AA$54</f>
        <v>9946.0451779972736</v>
      </c>
      <c r="M54" s="55">
        <f>$J$54-EFEITO!$K$54*EFEITO!$Y$54</f>
        <v>0</v>
      </c>
      <c r="N54" s="55">
        <f ca="1">$K$54-EFEITO!$M$54*EFEITO!$Z$54</f>
        <v>0</v>
      </c>
      <c r="O54" s="55">
        <f>$L$54-EFEITO!$O$54*EFEITO!$AA$54</f>
        <v>0</v>
      </c>
      <c r="P54" s="39"/>
      <c r="Q54" s="39"/>
      <c r="R54" s="39"/>
      <c r="S54" s="39"/>
      <c r="T54" s="39"/>
      <c r="U54" s="39"/>
      <c r="V54" s="39"/>
      <c r="W54" s="39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1.25" customHeight="1" x14ac:dyDescent="0.2">
      <c r="A55" s="35" t="s">
        <v>21</v>
      </c>
      <c r="B55" s="35" t="s">
        <v>33</v>
      </c>
      <c r="C55" s="35" t="s">
        <v>37</v>
      </c>
      <c r="D55" s="35" t="s">
        <v>32</v>
      </c>
      <c r="E55" s="35" t="s">
        <v>25</v>
      </c>
      <c r="F55" s="35" t="s">
        <v>25</v>
      </c>
      <c r="G55" s="35" t="s">
        <v>25</v>
      </c>
      <c r="H55" s="35" t="s">
        <v>35</v>
      </c>
      <c r="I55" s="54">
        <v>44593</v>
      </c>
      <c r="J55" s="55">
        <f>EFEITO!$J$55*EFEITO!$Y$55</f>
        <v>0</v>
      </c>
      <c r="K55" s="55">
        <f ca="1">EFEITO!$L$55*EFEITO!$Z$55</f>
        <v>59841.640588207658</v>
      </c>
      <c r="L55" s="55">
        <f>EFEITO!$N$55*EFEITO!$AA$55</f>
        <v>9609.1429697781623</v>
      </c>
      <c r="M55" s="55">
        <f>$J$55-EFEITO!$K$55*EFEITO!$Y$55</f>
        <v>0</v>
      </c>
      <c r="N55" s="55">
        <f ca="1">$K$55-EFEITO!$M$55*EFEITO!$Z$55</f>
        <v>0</v>
      </c>
      <c r="O55" s="55">
        <f>$L$55-EFEITO!$O$55*EFEITO!$AA$55</f>
        <v>0</v>
      </c>
      <c r="P55" s="39"/>
      <c r="Q55" s="39"/>
      <c r="R55" s="39"/>
      <c r="S55" s="39"/>
      <c r="T55" s="39"/>
      <c r="U55" s="39"/>
      <c r="V55" s="39"/>
      <c r="W55" s="39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1.25" customHeight="1" x14ac:dyDescent="0.2">
      <c r="A56" s="35" t="s">
        <v>21</v>
      </c>
      <c r="B56" s="35" t="s">
        <v>33</v>
      </c>
      <c r="C56" s="35" t="s">
        <v>37</v>
      </c>
      <c r="D56" s="35" t="s">
        <v>32</v>
      </c>
      <c r="E56" s="35" t="s">
        <v>25</v>
      </c>
      <c r="F56" s="35" t="s">
        <v>25</v>
      </c>
      <c r="G56" s="35" t="s">
        <v>25</v>
      </c>
      <c r="H56" s="35" t="s">
        <v>35</v>
      </c>
      <c r="I56" s="54">
        <v>44621</v>
      </c>
      <c r="J56" s="55">
        <f>EFEITO!$J$56*EFEITO!$Y$56</f>
        <v>0</v>
      </c>
      <c r="K56" s="55">
        <f ca="1">EFEITO!$L$56*EFEITO!$Z$56</f>
        <v>68303.034477263849</v>
      </c>
      <c r="L56" s="55">
        <f>EFEITO!$N$56*EFEITO!$AA$56</f>
        <v>10967.841407928445</v>
      </c>
      <c r="M56" s="55">
        <f>$J$56-EFEITO!$K$56*EFEITO!$Y$56</f>
        <v>0</v>
      </c>
      <c r="N56" s="55">
        <f ca="1">$K$56-EFEITO!$M$56*EFEITO!$Z$56</f>
        <v>0</v>
      </c>
      <c r="O56" s="55">
        <f>$L$56-EFEITO!$O$56*EFEITO!$AA$56</f>
        <v>0</v>
      </c>
      <c r="P56" s="39"/>
      <c r="Q56" s="39"/>
      <c r="R56" s="39"/>
      <c r="S56" s="39"/>
      <c r="T56" s="39"/>
      <c r="U56" s="39"/>
      <c r="V56" s="39"/>
      <c r="W56" s="39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1.25" customHeight="1" x14ac:dyDescent="0.2">
      <c r="A57" s="35" t="s">
        <v>21</v>
      </c>
      <c r="B57" s="35" t="s">
        <v>33</v>
      </c>
      <c r="C57" s="35" t="s">
        <v>37</v>
      </c>
      <c r="D57" s="35" t="s">
        <v>32</v>
      </c>
      <c r="E57" s="35" t="s">
        <v>25</v>
      </c>
      <c r="F57" s="35" t="s">
        <v>25</v>
      </c>
      <c r="G57" s="35" t="s">
        <v>25</v>
      </c>
      <c r="H57" s="35" t="s">
        <v>35</v>
      </c>
      <c r="I57" s="54">
        <v>44652</v>
      </c>
      <c r="J57" s="55">
        <f>EFEITO!$J$57*EFEITO!$Y$57</f>
        <v>0</v>
      </c>
      <c r="K57" s="55">
        <f ca="1">EFEITO!$L$57*EFEITO!$Z$57</f>
        <v>61807.125979021715</v>
      </c>
      <c r="L57" s="55">
        <f>EFEITO!$N$57*EFEITO!$AA$57</f>
        <v>9924.7531358715096</v>
      </c>
      <c r="M57" s="55">
        <f>$J$57-EFEITO!$K$57*EFEITO!$Y$57</f>
        <v>0</v>
      </c>
      <c r="N57" s="55">
        <f ca="1">$K$57-EFEITO!$M$57*EFEITO!$Z$57</f>
        <v>0</v>
      </c>
      <c r="O57" s="55">
        <f>$L$57-EFEITO!$O$57*EFEITO!$AA$57</f>
        <v>0</v>
      </c>
      <c r="P57" s="39"/>
      <c r="Q57" s="39"/>
      <c r="R57" s="39"/>
      <c r="S57" s="39"/>
      <c r="T57" s="39"/>
      <c r="U57" s="39"/>
      <c r="V57" s="39"/>
      <c r="W57" s="39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1.25" customHeight="1" x14ac:dyDescent="0.2">
      <c r="A58" s="35" t="s">
        <v>21</v>
      </c>
      <c r="B58" s="35" t="s">
        <v>33</v>
      </c>
      <c r="C58" s="35" t="s">
        <v>37</v>
      </c>
      <c r="D58" s="35" t="s">
        <v>32</v>
      </c>
      <c r="E58" s="35" t="s">
        <v>25</v>
      </c>
      <c r="F58" s="35" t="s">
        <v>25</v>
      </c>
      <c r="G58" s="35" t="s">
        <v>25</v>
      </c>
      <c r="H58" s="35" t="s">
        <v>35</v>
      </c>
      <c r="I58" s="54">
        <v>44682</v>
      </c>
      <c r="J58" s="55">
        <f>EFEITO!$J$58*EFEITO!$Y$58</f>
        <v>0</v>
      </c>
      <c r="K58" s="55">
        <f ca="1">EFEITO!$L$58*EFEITO!$Z$58</f>
        <v>67830.654994721059</v>
      </c>
      <c r="L58" s="55">
        <f>EFEITO!$N$58*EFEITO!$AA$58</f>
        <v>10891.988507855413</v>
      </c>
      <c r="M58" s="55">
        <f>$J$58-EFEITO!$K$58*EFEITO!$Y$58</f>
        <v>0</v>
      </c>
      <c r="N58" s="55">
        <f ca="1">$K$58-EFEITO!$M$58*EFEITO!$Z$58</f>
        <v>0</v>
      </c>
      <c r="O58" s="55">
        <f>$L$58-EFEITO!$O$58*EFEITO!$AA$58</f>
        <v>0</v>
      </c>
      <c r="P58" s="39"/>
      <c r="Q58" s="39"/>
      <c r="R58" s="39"/>
      <c r="S58" s="39"/>
      <c r="T58" s="39"/>
      <c r="U58" s="39"/>
      <c r="V58" s="39"/>
      <c r="W58" s="39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1.25" customHeight="1" x14ac:dyDescent="0.2">
      <c r="A59" s="35" t="s">
        <v>21</v>
      </c>
      <c r="B59" s="35" t="s">
        <v>33</v>
      </c>
      <c r="C59" s="35" t="s">
        <v>37</v>
      </c>
      <c r="D59" s="35" t="s">
        <v>32</v>
      </c>
      <c r="E59" s="35" t="s">
        <v>25</v>
      </c>
      <c r="F59" s="35" t="s">
        <v>25</v>
      </c>
      <c r="G59" s="35" t="s">
        <v>25</v>
      </c>
      <c r="H59" s="35" t="s">
        <v>35</v>
      </c>
      <c r="I59" s="54">
        <v>44713</v>
      </c>
      <c r="J59" s="55">
        <f>EFEITO!$J$59*EFEITO!$Y$59</f>
        <v>0</v>
      </c>
      <c r="K59" s="55">
        <f ca="1">EFEITO!$L$59*EFEITO!$Z$59</f>
        <v>65094.445185021352</v>
      </c>
      <c r="L59" s="55">
        <f>EFEITO!$N$59*EFEITO!$AA$59</f>
        <v>10452.618346906063</v>
      </c>
      <c r="M59" s="55">
        <f>$J$59-EFEITO!$K$59*EFEITO!$Y$59</f>
        <v>0</v>
      </c>
      <c r="N59" s="55">
        <f ca="1">$K$59-EFEITO!$M$59*EFEITO!$Z$59</f>
        <v>0</v>
      </c>
      <c r="O59" s="55">
        <f>$L$59-EFEITO!$O$59*EFEITO!$AA$59</f>
        <v>0</v>
      </c>
      <c r="P59" s="39"/>
      <c r="Q59" s="39"/>
      <c r="R59" s="39"/>
      <c r="S59" s="39"/>
      <c r="T59" s="39"/>
      <c r="U59" s="39"/>
      <c r="V59" s="39"/>
      <c r="W59" s="39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1.25" customHeight="1" x14ac:dyDescent="0.2">
      <c r="A60" s="35" t="s">
        <v>21</v>
      </c>
      <c r="B60" s="35" t="s">
        <v>33</v>
      </c>
      <c r="C60" s="35" t="s">
        <v>37</v>
      </c>
      <c r="D60" s="35" t="s">
        <v>32</v>
      </c>
      <c r="E60" s="35" t="s">
        <v>25</v>
      </c>
      <c r="F60" s="35" t="s">
        <v>25</v>
      </c>
      <c r="G60" s="35" t="s">
        <v>25</v>
      </c>
      <c r="H60" s="35" t="s">
        <v>35</v>
      </c>
      <c r="I60" s="54">
        <v>44743</v>
      </c>
      <c r="J60" s="55">
        <f>EFEITO!$J$60*EFEITO!$Y$60</f>
        <v>0</v>
      </c>
      <c r="K60" s="55">
        <f ca="1">EFEITO!$L$60*EFEITO!$Z$60</f>
        <v>66412.135320535497</v>
      </c>
      <c r="L60" s="55">
        <f>EFEITO!$N$60*EFEITO!$AA$60</f>
        <v>10664.208015530838</v>
      </c>
      <c r="M60" s="55">
        <f>$J$60-EFEITO!$K$60*EFEITO!$Y$60</f>
        <v>0</v>
      </c>
      <c r="N60" s="55">
        <f ca="1">$K$60-EFEITO!$M$60*EFEITO!$Z$60</f>
        <v>0</v>
      </c>
      <c r="O60" s="55">
        <f>$L$60-EFEITO!$O$60*EFEITO!$AA$60</f>
        <v>0</v>
      </c>
      <c r="P60" s="39"/>
      <c r="Q60" s="39"/>
      <c r="R60" s="39"/>
      <c r="S60" s="39"/>
      <c r="T60" s="39"/>
      <c r="U60" s="39"/>
      <c r="V60" s="39"/>
      <c r="W60" s="39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1.25" customHeight="1" x14ac:dyDescent="0.2">
      <c r="A61" s="35" t="s">
        <v>21</v>
      </c>
      <c r="B61" s="35" t="s">
        <v>33</v>
      </c>
      <c r="C61" s="35" t="s">
        <v>37</v>
      </c>
      <c r="D61" s="35" t="s">
        <v>32</v>
      </c>
      <c r="E61" s="35" t="s">
        <v>25</v>
      </c>
      <c r="F61" s="35" t="s">
        <v>25</v>
      </c>
      <c r="G61" s="35" t="s">
        <v>25</v>
      </c>
      <c r="H61" s="35" t="s">
        <v>35</v>
      </c>
      <c r="I61" s="54">
        <v>44774</v>
      </c>
      <c r="J61" s="55">
        <f>EFEITO!$J$61*EFEITO!$Y$61</f>
        <v>0</v>
      </c>
      <c r="K61" s="55">
        <f ca="1">EFEITO!$L$61*EFEITO!$Z$61</f>
        <v>78352.838907034165</v>
      </c>
      <c r="L61" s="55">
        <f>EFEITO!$N$61*EFEITO!$AA$61</f>
        <v>12581.600767376935</v>
      </c>
      <c r="M61" s="55">
        <f>$J$61-EFEITO!$K$61*EFEITO!$Y$61</f>
        <v>0</v>
      </c>
      <c r="N61" s="55">
        <f ca="1">$K$61-EFEITO!$M$61*EFEITO!$Z$61</f>
        <v>0</v>
      </c>
      <c r="O61" s="55">
        <f>$L$61-EFEITO!$O$61*EFEITO!$AA$61</f>
        <v>0</v>
      </c>
      <c r="P61" s="39"/>
      <c r="Q61" s="39"/>
      <c r="R61" s="39"/>
      <c r="S61" s="39"/>
      <c r="T61" s="39"/>
      <c r="U61" s="39"/>
      <c r="V61" s="39"/>
      <c r="W61" s="39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1.25" customHeight="1" x14ac:dyDescent="0.2">
      <c r="A62" s="35" t="s">
        <v>21</v>
      </c>
      <c r="B62" s="35" t="s">
        <v>22</v>
      </c>
      <c r="C62" s="35" t="s">
        <v>23</v>
      </c>
      <c r="D62" s="35" t="s">
        <v>24</v>
      </c>
      <c r="E62" s="35" t="s">
        <v>24</v>
      </c>
      <c r="F62" s="35" t="s">
        <v>25</v>
      </c>
      <c r="G62" s="35" t="s">
        <v>25</v>
      </c>
      <c r="H62" s="35" t="s">
        <v>25</v>
      </c>
      <c r="I62" s="54">
        <v>44440</v>
      </c>
      <c r="J62" s="55">
        <f>EFEITO!$J$62*EFEITO!$Y$62</f>
        <v>0</v>
      </c>
      <c r="K62" s="55">
        <f ca="1">EFEITO!$L$62*EFEITO!$Z$62</f>
        <v>12072.671563315494</v>
      </c>
      <c r="L62" s="55">
        <f>EFEITO!$N$62*EFEITO!$AA$62</f>
        <v>8599.5453056482093</v>
      </c>
      <c r="M62" s="55">
        <f>$J$62-EFEITO!$K$62*EFEITO!$Y$62</f>
        <v>0</v>
      </c>
      <c r="N62" s="55">
        <f ca="1">$K$62-EFEITO!$M$62*EFEITO!$Z$62</f>
        <v>0</v>
      </c>
      <c r="O62" s="55">
        <f>$L$62-EFEITO!$O$62*EFEITO!$AA$62</f>
        <v>0</v>
      </c>
      <c r="P62" s="39"/>
      <c r="Q62" s="39"/>
      <c r="R62" s="39"/>
      <c r="S62" s="39"/>
      <c r="T62" s="39"/>
      <c r="U62" s="39"/>
      <c r="V62" s="39"/>
      <c r="W62" s="39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1.25" customHeight="1" x14ac:dyDescent="0.2">
      <c r="A63" s="35" t="s">
        <v>21</v>
      </c>
      <c r="B63" s="35" t="s">
        <v>22</v>
      </c>
      <c r="C63" s="35" t="s">
        <v>23</v>
      </c>
      <c r="D63" s="35" t="s">
        <v>24</v>
      </c>
      <c r="E63" s="35" t="s">
        <v>24</v>
      </c>
      <c r="F63" s="35" t="s">
        <v>25</v>
      </c>
      <c r="G63" s="35" t="s">
        <v>25</v>
      </c>
      <c r="H63" s="35" t="s">
        <v>25</v>
      </c>
      <c r="I63" s="54">
        <v>44470</v>
      </c>
      <c r="J63" s="55">
        <f>EFEITO!$J$63*EFEITO!$Y$63</f>
        <v>0</v>
      </c>
      <c r="K63" s="55">
        <f ca="1">EFEITO!$L$63*EFEITO!$Z$63</f>
        <v>11801.158665081901</v>
      </c>
      <c r="L63" s="55">
        <f>EFEITO!$N$63*EFEITO!$AA$63</f>
        <v>8406.142589672525</v>
      </c>
      <c r="M63" s="55">
        <f>$J$63-EFEITO!$K$63*EFEITO!$Y$63</f>
        <v>0</v>
      </c>
      <c r="N63" s="55">
        <f ca="1">$K$63-EFEITO!$M$63*EFEITO!$Z$63</f>
        <v>0</v>
      </c>
      <c r="O63" s="55">
        <f>$L$63-EFEITO!$O$63*EFEITO!$AA$63</f>
        <v>0</v>
      </c>
      <c r="P63" s="39"/>
      <c r="Q63" s="39"/>
      <c r="R63" s="39"/>
      <c r="S63" s="39"/>
      <c r="T63" s="39"/>
      <c r="U63" s="39"/>
      <c r="V63" s="39"/>
      <c r="W63" s="39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1.25" customHeight="1" x14ac:dyDescent="0.2">
      <c r="A64" s="35" t="s">
        <v>21</v>
      </c>
      <c r="B64" s="35" t="s">
        <v>22</v>
      </c>
      <c r="C64" s="35" t="s">
        <v>23</v>
      </c>
      <c r="D64" s="35" t="s">
        <v>24</v>
      </c>
      <c r="E64" s="35" t="s">
        <v>24</v>
      </c>
      <c r="F64" s="35" t="s">
        <v>25</v>
      </c>
      <c r="G64" s="35" t="s">
        <v>25</v>
      </c>
      <c r="H64" s="35" t="s">
        <v>25</v>
      </c>
      <c r="I64" s="54">
        <v>44501</v>
      </c>
      <c r="J64" s="55">
        <f>EFEITO!$J$64*EFEITO!$Y$64</f>
        <v>0</v>
      </c>
      <c r="K64" s="55">
        <f ca="1">EFEITO!$L$64*EFEITO!$Z$64</f>
        <v>10924.346369868828</v>
      </c>
      <c r="L64" s="55">
        <f>EFEITO!$N$64*EFEITO!$AA$64</f>
        <v>7781.5760206501282</v>
      </c>
      <c r="M64" s="55">
        <f>$J$64-EFEITO!$K$64*EFEITO!$Y$64</f>
        <v>0</v>
      </c>
      <c r="N64" s="55">
        <f ca="1">$K$64-EFEITO!$M$64*EFEITO!$Z$64</f>
        <v>0</v>
      </c>
      <c r="O64" s="55">
        <f>$L$64-EFEITO!$O$64*EFEITO!$AA$64</f>
        <v>0</v>
      </c>
      <c r="P64" s="39"/>
      <c r="Q64" s="39"/>
      <c r="R64" s="39"/>
      <c r="S64" s="39"/>
      <c r="T64" s="39"/>
      <c r="U64" s="39"/>
      <c r="V64" s="39"/>
      <c r="W64" s="39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1.25" customHeight="1" x14ac:dyDescent="0.2">
      <c r="A65" s="35" t="s">
        <v>21</v>
      </c>
      <c r="B65" s="35" t="s">
        <v>22</v>
      </c>
      <c r="C65" s="35" t="s">
        <v>23</v>
      </c>
      <c r="D65" s="35" t="s">
        <v>24</v>
      </c>
      <c r="E65" s="35" t="s">
        <v>24</v>
      </c>
      <c r="F65" s="35" t="s">
        <v>25</v>
      </c>
      <c r="G65" s="35" t="s">
        <v>25</v>
      </c>
      <c r="H65" s="35" t="s">
        <v>25</v>
      </c>
      <c r="I65" s="54">
        <v>44531</v>
      </c>
      <c r="J65" s="55">
        <f>EFEITO!$J$65*EFEITO!$Y$65</f>
        <v>0</v>
      </c>
      <c r="K65" s="55">
        <f ca="1">EFEITO!$L$65*EFEITO!$Z$65</f>
        <v>10275.144084528183</v>
      </c>
      <c r="L65" s="55">
        <f>EFEITO!$N$65*EFEITO!$AA$65</f>
        <v>7319.1394807312017</v>
      </c>
      <c r="M65" s="55">
        <f>$J$65-EFEITO!$K$65*EFEITO!$Y$65</f>
        <v>0</v>
      </c>
      <c r="N65" s="55">
        <f ca="1">$K$65-EFEITO!$M$65*EFEITO!$Z$65</f>
        <v>0</v>
      </c>
      <c r="O65" s="55">
        <f>$L$65-EFEITO!$O$65*EFEITO!$AA$65</f>
        <v>0</v>
      </c>
      <c r="P65" s="39"/>
      <c r="Q65" s="39"/>
      <c r="R65" s="39"/>
      <c r="S65" s="39"/>
      <c r="T65" s="39"/>
      <c r="U65" s="39"/>
      <c r="V65" s="39"/>
      <c r="W65" s="39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1.25" customHeight="1" x14ac:dyDescent="0.2">
      <c r="A66" s="35" t="s">
        <v>21</v>
      </c>
      <c r="B66" s="35" t="s">
        <v>22</v>
      </c>
      <c r="C66" s="35" t="s">
        <v>23</v>
      </c>
      <c r="D66" s="35" t="s">
        <v>24</v>
      </c>
      <c r="E66" s="35" t="s">
        <v>24</v>
      </c>
      <c r="F66" s="35" t="s">
        <v>25</v>
      </c>
      <c r="G66" s="35" t="s">
        <v>25</v>
      </c>
      <c r="H66" s="35" t="s">
        <v>25</v>
      </c>
      <c r="I66" s="54">
        <v>44562</v>
      </c>
      <c r="J66" s="55">
        <f>EFEITO!$J$66*EFEITO!$Y$66</f>
        <v>0</v>
      </c>
      <c r="K66" s="55">
        <f ca="1">EFEITO!$L$66*EFEITO!$Z$66</f>
        <v>12927.999466351825</v>
      </c>
      <c r="L66" s="55">
        <f>EFEITO!$N$66*EFEITO!$AA$66</f>
        <v>9208.808219392713</v>
      </c>
      <c r="M66" s="55">
        <f>$J$66-EFEITO!$K$66*EFEITO!$Y$66</f>
        <v>0</v>
      </c>
      <c r="N66" s="55">
        <f ca="1">$K$66-EFEITO!$M$66*EFEITO!$Z$66</f>
        <v>0</v>
      </c>
      <c r="O66" s="55">
        <f>$L$66-EFEITO!$O$66*EFEITO!$AA$66</f>
        <v>0</v>
      </c>
      <c r="P66" s="39"/>
      <c r="Q66" s="39"/>
      <c r="R66" s="39"/>
      <c r="S66" s="39"/>
      <c r="T66" s="39"/>
      <c r="U66" s="39"/>
      <c r="V66" s="39"/>
      <c r="W66" s="39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1.25" customHeight="1" x14ac:dyDescent="0.2">
      <c r="A67" s="35" t="s">
        <v>21</v>
      </c>
      <c r="B67" s="35" t="s">
        <v>22</v>
      </c>
      <c r="C67" s="35" t="s">
        <v>23</v>
      </c>
      <c r="D67" s="35" t="s">
        <v>24</v>
      </c>
      <c r="E67" s="35" t="s">
        <v>24</v>
      </c>
      <c r="F67" s="35" t="s">
        <v>25</v>
      </c>
      <c r="G67" s="35" t="s">
        <v>25</v>
      </c>
      <c r="H67" s="35" t="s">
        <v>25</v>
      </c>
      <c r="I67" s="54">
        <v>44593</v>
      </c>
      <c r="J67" s="55">
        <f>EFEITO!$J$67*EFEITO!$Y$67</f>
        <v>0</v>
      </c>
      <c r="K67" s="55">
        <f ca="1">EFEITO!$L$67*EFEITO!$Z$67</f>
        <v>11189.631908051191</v>
      </c>
      <c r="L67" s="55">
        <f>EFEITO!$N$67*EFEITO!$AA$67</f>
        <v>7970.5428945162785</v>
      </c>
      <c r="M67" s="55">
        <f>$J$67-EFEITO!$K$67*EFEITO!$Y$67</f>
        <v>0</v>
      </c>
      <c r="N67" s="55">
        <f ca="1">$K$67-EFEITO!$M$67*EFEITO!$Z$67</f>
        <v>0</v>
      </c>
      <c r="O67" s="55">
        <f>$L$67-EFEITO!$O$67*EFEITO!$AA$67</f>
        <v>0</v>
      </c>
      <c r="P67" s="39"/>
      <c r="Q67" s="39"/>
      <c r="R67" s="39"/>
      <c r="S67" s="39"/>
      <c r="T67" s="39"/>
      <c r="U67" s="39"/>
      <c r="V67" s="39"/>
      <c r="W67" s="39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1.25" customHeight="1" x14ac:dyDescent="0.2">
      <c r="A68" s="35" t="s">
        <v>21</v>
      </c>
      <c r="B68" s="35" t="s">
        <v>22</v>
      </c>
      <c r="C68" s="35" t="s">
        <v>23</v>
      </c>
      <c r="D68" s="35" t="s">
        <v>24</v>
      </c>
      <c r="E68" s="35" t="s">
        <v>24</v>
      </c>
      <c r="F68" s="35" t="s">
        <v>25</v>
      </c>
      <c r="G68" s="35" t="s">
        <v>25</v>
      </c>
      <c r="H68" s="35" t="s">
        <v>25</v>
      </c>
      <c r="I68" s="54">
        <v>44621</v>
      </c>
      <c r="J68" s="55">
        <f>EFEITO!$J$68*EFEITO!$Y$68</f>
        <v>0</v>
      </c>
      <c r="K68" s="55">
        <f ca="1">EFEITO!$L$68*EFEITO!$Z$68</f>
        <v>10635.085495489231</v>
      </c>
      <c r="L68" s="55">
        <f>EFEITO!$N$68*EFEITO!$AA$68</f>
        <v>7575.5311546622706</v>
      </c>
      <c r="M68" s="55">
        <f>$J$68-EFEITO!$K$68*EFEITO!$Y$68</f>
        <v>0</v>
      </c>
      <c r="N68" s="55">
        <f ca="1">$K$68-EFEITO!$M$68*EFEITO!$Z$68</f>
        <v>0</v>
      </c>
      <c r="O68" s="55">
        <f>$L$68-EFEITO!$O$68*EFEITO!$AA$68</f>
        <v>0</v>
      </c>
      <c r="P68" s="39"/>
      <c r="Q68" s="39"/>
      <c r="R68" s="39"/>
      <c r="S68" s="39"/>
      <c r="T68" s="39"/>
      <c r="U68" s="39"/>
      <c r="V68" s="39"/>
      <c r="W68" s="39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1.25" customHeight="1" x14ac:dyDescent="0.2">
      <c r="A69" s="35" t="s">
        <v>41</v>
      </c>
      <c r="B69" s="35" t="s">
        <v>22</v>
      </c>
      <c r="C69" s="35" t="s">
        <v>23</v>
      </c>
      <c r="D69" s="35" t="s">
        <v>24</v>
      </c>
      <c r="E69" s="35" t="s">
        <v>24</v>
      </c>
      <c r="F69" s="35" t="s">
        <v>25</v>
      </c>
      <c r="G69" s="35" t="s">
        <v>25</v>
      </c>
      <c r="H69" s="35" t="s">
        <v>25</v>
      </c>
      <c r="I69" s="54">
        <v>44621</v>
      </c>
      <c r="J69" s="55">
        <f>EFEITO!$J$69*EFEITO!$Y$69</f>
        <v>0</v>
      </c>
      <c r="K69" s="55">
        <f ca="1">EFEITO!$L$69*EFEITO!$Z$69</f>
        <v>71.303272586574366</v>
      </c>
      <c r="L69" s="55">
        <f>EFEITO!$N$69*EFEITO!$AA$69</f>
        <v>50.790392154165012</v>
      </c>
      <c r="M69" s="55">
        <f>$J$69-EFEITO!$K$69*EFEITO!$Y$69</f>
        <v>0</v>
      </c>
      <c r="N69" s="55">
        <f ca="1">$K$69-EFEITO!$M$69*EFEITO!$Z$69</f>
        <v>0</v>
      </c>
      <c r="O69" s="55">
        <f>$L$69-EFEITO!$O$69*EFEITO!$AA$69</f>
        <v>0</v>
      </c>
      <c r="P69" s="39"/>
      <c r="Q69" s="39"/>
      <c r="R69" s="39"/>
      <c r="S69" s="39"/>
      <c r="T69" s="39"/>
      <c r="U69" s="39"/>
      <c r="V69" s="39"/>
      <c r="W69" s="39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1.25" customHeight="1" x14ac:dyDescent="0.2">
      <c r="A70" s="35" t="s">
        <v>21</v>
      </c>
      <c r="B70" s="35" t="s">
        <v>22</v>
      </c>
      <c r="C70" s="35" t="s">
        <v>23</v>
      </c>
      <c r="D70" s="35" t="s">
        <v>24</v>
      </c>
      <c r="E70" s="35" t="s">
        <v>24</v>
      </c>
      <c r="F70" s="35" t="s">
        <v>25</v>
      </c>
      <c r="G70" s="35" t="s">
        <v>25</v>
      </c>
      <c r="H70" s="35" t="s">
        <v>25</v>
      </c>
      <c r="I70" s="54">
        <v>44652</v>
      </c>
      <c r="J70" s="55">
        <f>EFEITO!$J$70*EFEITO!$Y$70</f>
        <v>0</v>
      </c>
      <c r="K70" s="55">
        <f ca="1">EFEITO!$L$70*EFEITO!$Z$70</f>
        <v>9940.1121137720529</v>
      </c>
      <c r="L70" s="55">
        <f>EFEITO!$N$70*EFEITO!$AA$70</f>
        <v>7080.4911752382695</v>
      </c>
      <c r="M70" s="55">
        <f>$J$70-EFEITO!$K$70*EFEITO!$Y$70</f>
        <v>0</v>
      </c>
      <c r="N70" s="55">
        <f ca="1">$K$70-EFEITO!$M$70*EFEITO!$Z$70</f>
        <v>0</v>
      </c>
      <c r="O70" s="55">
        <f>$L$70-EFEITO!$O$70*EFEITO!$AA$70</f>
        <v>0</v>
      </c>
      <c r="P70" s="39"/>
      <c r="Q70" s="39"/>
      <c r="R70" s="39"/>
      <c r="S70" s="39"/>
      <c r="T70" s="39"/>
      <c r="U70" s="39"/>
      <c r="V70" s="39"/>
      <c r="W70" s="39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1.25" customHeight="1" x14ac:dyDescent="0.2">
      <c r="A71" s="35" t="s">
        <v>41</v>
      </c>
      <c r="B71" s="35" t="s">
        <v>22</v>
      </c>
      <c r="C71" s="35" t="s">
        <v>23</v>
      </c>
      <c r="D71" s="35" t="s">
        <v>24</v>
      </c>
      <c r="E71" s="35" t="s">
        <v>24</v>
      </c>
      <c r="F71" s="35" t="s">
        <v>25</v>
      </c>
      <c r="G71" s="35" t="s">
        <v>25</v>
      </c>
      <c r="H71" s="35" t="s">
        <v>25</v>
      </c>
      <c r="I71" s="54">
        <v>44652</v>
      </c>
      <c r="J71" s="55">
        <f>EFEITO!$J$71*EFEITO!$Y$71</f>
        <v>0</v>
      </c>
      <c r="K71" s="55">
        <f ca="1">EFEITO!$L$71*EFEITO!$Z$71</f>
        <v>31.136800256146014</v>
      </c>
      <c r="L71" s="55">
        <f>EFEITO!$N$71*EFEITO!$AA$71</f>
        <v>22.179210547670309</v>
      </c>
      <c r="M71" s="55">
        <f>$J$71-EFEITO!$K$71*EFEITO!$Y$71</f>
        <v>0</v>
      </c>
      <c r="N71" s="55">
        <f ca="1">$K$71-EFEITO!$M$71*EFEITO!$Z$71</f>
        <v>0</v>
      </c>
      <c r="O71" s="55">
        <f>$L$71-EFEITO!$O$71*EFEITO!$AA$71</f>
        <v>0</v>
      </c>
      <c r="P71" s="39"/>
      <c r="Q71" s="39"/>
      <c r="R71" s="39"/>
      <c r="S71" s="39"/>
      <c r="T71" s="39"/>
      <c r="U71" s="39"/>
      <c r="V71" s="39"/>
      <c r="W71" s="39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1.25" customHeight="1" x14ac:dyDescent="0.2">
      <c r="A72" s="35" t="s">
        <v>21</v>
      </c>
      <c r="B72" s="35" t="s">
        <v>22</v>
      </c>
      <c r="C72" s="35" t="s">
        <v>23</v>
      </c>
      <c r="D72" s="35" t="s">
        <v>24</v>
      </c>
      <c r="E72" s="35" t="s">
        <v>24</v>
      </c>
      <c r="F72" s="35" t="s">
        <v>25</v>
      </c>
      <c r="G72" s="35" t="s">
        <v>25</v>
      </c>
      <c r="H72" s="35" t="s">
        <v>25</v>
      </c>
      <c r="I72" s="54">
        <v>44682</v>
      </c>
      <c r="J72" s="55">
        <f>EFEITO!$J$72*EFEITO!$Y$72</f>
        <v>0</v>
      </c>
      <c r="K72" s="55">
        <f ca="1">EFEITO!$L$72*EFEITO!$Z$72</f>
        <v>10744.375664388304</v>
      </c>
      <c r="L72" s="55">
        <f>EFEITO!$N$72*EFEITO!$AA$72</f>
        <v>7653.3801836845932</v>
      </c>
      <c r="M72" s="55">
        <f>$J$72-EFEITO!$K$72*EFEITO!$Y$72</f>
        <v>0</v>
      </c>
      <c r="N72" s="55">
        <f ca="1">$K$72-EFEITO!$M$72*EFEITO!$Z$72</f>
        <v>0</v>
      </c>
      <c r="O72" s="55">
        <f>$L$72-EFEITO!$O$72*EFEITO!$AA$72</f>
        <v>0</v>
      </c>
      <c r="P72" s="39"/>
      <c r="Q72" s="39"/>
      <c r="R72" s="39"/>
      <c r="S72" s="39"/>
      <c r="T72" s="39"/>
      <c r="U72" s="39"/>
      <c r="V72" s="39"/>
      <c r="W72" s="39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1.25" customHeight="1" x14ac:dyDescent="0.2">
      <c r="A73" s="35" t="s">
        <v>41</v>
      </c>
      <c r="B73" s="35" t="s">
        <v>22</v>
      </c>
      <c r="C73" s="35" t="s">
        <v>23</v>
      </c>
      <c r="D73" s="35" t="s">
        <v>24</v>
      </c>
      <c r="E73" s="35" t="s">
        <v>24</v>
      </c>
      <c r="F73" s="35" t="s">
        <v>25</v>
      </c>
      <c r="G73" s="35" t="s">
        <v>25</v>
      </c>
      <c r="H73" s="35" t="s">
        <v>25</v>
      </c>
      <c r="I73" s="54">
        <v>44682</v>
      </c>
      <c r="J73" s="55">
        <f>EFEITO!$J$73*EFEITO!$Y$73</f>
        <v>0</v>
      </c>
      <c r="K73" s="55">
        <f ca="1">EFEITO!$L$73*EFEITO!$Z$73</f>
        <v>31.136800256146014</v>
      </c>
      <c r="L73" s="55">
        <f>EFEITO!$N$73*EFEITO!$AA$73</f>
        <v>22.179210547670309</v>
      </c>
      <c r="M73" s="55">
        <f>$J$73-EFEITO!$K$73*EFEITO!$Y$73</f>
        <v>0</v>
      </c>
      <c r="N73" s="55">
        <f ca="1">$K$73-EFEITO!$M$73*EFEITO!$Z$73</f>
        <v>0</v>
      </c>
      <c r="O73" s="55">
        <f>$L$73-EFEITO!$O$73*EFEITO!$AA$73</f>
        <v>0</v>
      </c>
      <c r="P73" s="39"/>
      <c r="Q73" s="39"/>
      <c r="R73" s="39"/>
      <c r="S73" s="39"/>
      <c r="T73" s="39"/>
      <c r="U73" s="39"/>
      <c r="V73" s="39"/>
      <c r="W73" s="39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1.25" customHeight="1" x14ac:dyDescent="0.2">
      <c r="A74" s="35" t="s">
        <v>21</v>
      </c>
      <c r="B74" s="35" t="s">
        <v>22</v>
      </c>
      <c r="C74" s="35" t="s">
        <v>23</v>
      </c>
      <c r="D74" s="35" t="s">
        <v>24</v>
      </c>
      <c r="E74" s="35" t="s">
        <v>24</v>
      </c>
      <c r="F74" s="35" t="s">
        <v>25</v>
      </c>
      <c r="G74" s="35" t="s">
        <v>25</v>
      </c>
      <c r="H74" s="35" t="s">
        <v>25</v>
      </c>
      <c r="I74" s="54">
        <v>44713</v>
      </c>
      <c r="J74" s="55">
        <f>EFEITO!$J$74*EFEITO!$Y$74</f>
        <v>0</v>
      </c>
      <c r="K74" s="55">
        <f ca="1">EFEITO!$L$74*EFEITO!$Z$74</f>
        <v>11301.101652968195</v>
      </c>
      <c r="L74" s="55">
        <f>EFEITO!$N$74*EFEITO!$AA$74</f>
        <v>8049.944468276939</v>
      </c>
      <c r="M74" s="55">
        <f>$J$74-EFEITO!$K$74*EFEITO!$Y$74</f>
        <v>0</v>
      </c>
      <c r="N74" s="55">
        <f ca="1">$K$74-EFEITO!$M$74*EFEITO!$Z$74</f>
        <v>0</v>
      </c>
      <c r="O74" s="55">
        <f>$L$74-EFEITO!$O$74*EFEITO!$AA$74</f>
        <v>0</v>
      </c>
      <c r="P74" s="39"/>
      <c r="Q74" s="39"/>
      <c r="R74" s="39"/>
      <c r="S74" s="39"/>
      <c r="T74" s="39"/>
      <c r="U74" s="39"/>
      <c r="V74" s="39"/>
      <c r="W74" s="39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1.25" customHeight="1" x14ac:dyDescent="0.2">
      <c r="A75" s="35" t="s">
        <v>41</v>
      </c>
      <c r="B75" s="35" t="s">
        <v>22</v>
      </c>
      <c r="C75" s="35" t="s">
        <v>23</v>
      </c>
      <c r="D75" s="35" t="s">
        <v>24</v>
      </c>
      <c r="E75" s="35" t="s">
        <v>24</v>
      </c>
      <c r="F75" s="35" t="s">
        <v>25</v>
      </c>
      <c r="G75" s="35" t="s">
        <v>25</v>
      </c>
      <c r="H75" s="35" t="s">
        <v>25</v>
      </c>
      <c r="I75" s="54">
        <v>44713</v>
      </c>
      <c r="J75" s="55">
        <f>EFEITO!$J$75*EFEITO!$Y$75</f>
        <v>0</v>
      </c>
      <c r="K75" s="55">
        <f ca="1">EFEITO!$L$75*EFEITO!$Z$75</f>
        <v>31.136800256146014</v>
      </c>
      <c r="L75" s="55">
        <f>EFEITO!$N$75*EFEITO!$AA$75</f>
        <v>22.179210547670309</v>
      </c>
      <c r="M75" s="55">
        <f>$J$75-EFEITO!$K$75*EFEITO!$Y$75</f>
        <v>0</v>
      </c>
      <c r="N75" s="55">
        <f ca="1">$K$75-EFEITO!$M$75*EFEITO!$Z$75</f>
        <v>0</v>
      </c>
      <c r="O75" s="55">
        <f>$L$75-EFEITO!$O$75*EFEITO!$AA$75</f>
        <v>0</v>
      </c>
      <c r="P75" s="39"/>
      <c r="Q75" s="39"/>
      <c r="R75" s="39"/>
      <c r="S75" s="39"/>
      <c r="T75" s="39"/>
      <c r="U75" s="39"/>
      <c r="V75" s="39"/>
      <c r="W75" s="39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1.25" customHeight="1" x14ac:dyDescent="0.2">
      <c r="A76" s="35" t="s">
        <v>21</v>
      </c>
      <c r="B76" s="35" t="s">
        <v>22</v>
      </c>
      <c r="C76" s="35" t="s">
        <v>23</v>
      </c>
      <c r="D76" s="35" t="s">
        <v>24</v>
      </c>
      <c r="E76" s="35" t="s">
        <v>24</v>
      </c>
      <c r="F76" s="35" t="s">
        <v>25</v>
      </c>
      <c r="G76" s="35" t="s">
        <v>25</v>
      </c>
      <c r="H76" s="35" t="s">
        <v>25</v>
      </c>
      <c r="I76" s="54">
        <v>44743</v>
      </c>
      <c r="J76" s="55">
        <f>EFEITO!$J$76*EFEITO!$Y$76</f>
        <v>0</v>
      </c>
      <c r="K76" s="55">
        <f ca="1">EFEITO!$L$76*EFEITO!$Z$76</f>
        <v>10712.616128127036</v>
      </c>
      <c r="L76" s="55">
        <f>EFEITO!$N$76*EFEITO!$AA$76</f>
        <v>7630.7573889259702</v>
      </c>
      <c r="M76" s="55">
        <f>$J$76-EFEITO!$K$76*EFEITO!$Y$76</f>
        <v>0</v>
      </c>
      <c r="N76" s="55">
        <f ca="1">$K$76-EFEITO!$M$76*EFEITO!$Z$76</f>
        <v>0</v>
      </c>
      <c r="O76" s="55">
        <f>$L$76-EFEITO!$O$76*EFEITO!$AA$76</f>
        <v>0</v>
      </c>
      <c r="P76" s="39"/>
      <c r="Q76" s="39"/>
      <c r="R76" s="39"/>
      <c r="S76" s="39"/>
      <c r="T76" s="39"/>
      <c r="U76" s="39"/>
      <c r="V76" s="39"/>
      <c r="W76" s="39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1.25" customHeight="1" x14ac:dyDescent="0.2">
      <c r="A77" s="35" t="s">
        <v>41</v>
      </c>
      <c r="B77" s="35" t="s">
        <v>22</v>
      </c>
      <c r="C77" s="35" t="s">
        <v>23</v>
      </c>
      <c r="D77" s="35" t="s">
        <v>24</v>
      </c>
      <c r="E77" s="35" t="s">
        <v>24</v>
      </c>
      <c r="F77" s="35" t="s">
        <v>25</v>
      </c>
      <c r="G77" s="35" t="s">
        <v>25</v>
      </c>
      <c r="H77" s="35" t="s">
        <v>25</v>
      </c>
      <c r="I77" s="54">
        <v>44743</v>
      </c>
      <c r="J77" s="55">
        <f>EFEITO!$J$77*EFEITO!$Y$77</f>
        <v>0</v>
      </c>
      <c r="K77" s="55">
        <f ca="1">EFEITO!$L$77*EFEITO!$Z$77</f>
        <v>31.136800256146014</v>
      </c>
      <c r="L77" s="55">
        <f>EFEITO!$N$77*EFEITO!$AA$77</f>
        <v>22.179210547670309</v>
      </c>
      <c r="M77" s="55">
        <f>$J$77-EFEITO!$K$77*EFEITO!$Y$77</f>
        <v>0</v>
      </c>
      <c r="N77" s="55">
        <f ca="1">$K$77-EFEITO!$M$77*EFEITO!$Z$77</f>
        <v>0</v>
      </c>
      <c r="O77" s="55">
        <f>$L$77-EFEITO!$O$77*EFEITO!$AA$77</f>
        <v>0</v>
      </c>
      <c r="P77" s="39"/>
      <c r="Q77" s="39"/>
      <c r="R77" s="39"/>
      <c r="S77" s="39"/>
      <c r="T77" s="39"/>
      <c r="U77" s="39"/>
      <c r="V77" s="39"/>
      <c r="W77" s="39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1.25" customHeight="1" x14ac:dyDescent="0.2">
      <c r="A78" s="35" t="s">
        <v>21</v>
      </c>
      <c r="B78" s="35" t="s">
        <v>22</v>
      </c>
      <c r="C78" s="35" t="s">
        <v>23</v>
      </c>
      <c r="D78" s="35" t="s">
        <v>24</v>
      </c>
      <c r="E78" s="35" t="s">
        <v>24</v>
      </c>
      <c r="F78" s="35" t="s">
        <v>25</v>
      </c>
      <c r="G78" s="35" t="s">
        <v>25</v>
      </c>
      <c r="H78" s="35" t="s">
        <v>25</v>
      </c>
      <c r="I78" s="54">
        <v>44774</v>
      </c>
      <c r="J78" s="55">
        <f>EFEITO!$J$78*EFEITO!$Y$78</f>
        <v>0</v>
      </c>
      <c r="K78" s="55">
        <f ca="1">EFEITO!$L$78*EFEITO!$Z$78</f>
        <v>12472.156710601846</v>
      </c>
      <c r="L78" s="55">
        <f>EFEITO!$N$78*EFEITO!$AA$78</f>
        <v>8884.104576974818</v>
      </c>
      <c r="M78" s="55">
        <f>$J$78-EFEITO!$K$78*EFEITO!$Y$78</f>
        <v>0</v>
      </c>
      <c r="N78" s="55">
        <f ca="1">$K$78-EFEITO!$M$78*EFEITO!$Z$78</f>
        <v>0</v>
      </c>
      <c r="O78" s="55">
        <f>$L$78-EFEITO!$O$78*EFEITO!$AA$78</f>
        <v>0</v>
      </c>
      <c r="P78" s="39"/>
      <c r="Q78" s="39"/>
      <c r="R78" s="39"/>
      <c r="S78" s="39"/>
      <c r="T78" s="39"/>
      <c r="U78" s="39"/>
      <c r="V78" s="39"/>
      <c r="W78" s="39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1.25" customHeight="1" x14ac:dyDescent="0.2">
      <c r="A79" s="35" t="s">
        <v>41</v>
      </c>
      <c r="B79" s="35" t="s">
        <v>22</v>
      </c>
      <c r="C79" s="35" t="s">
        <v>23</v>
      </c>
      <c r="D79" s="35" t="s">
        <v>24</v>
      </c>
      <c r="E79" s="35" t="s">
        <v>24</v>
      </c>
      <c r="F79" s="35" t="s">
        <v>25</v>
      </c>
      <c r="G79" s="35" t="s">
        <v>25</v>
      </c>
      <c r="H79" s="35" t="s">
        <v>25</v>
      </c>
      <c r="I79" s="54">
        <v>44774</v>
      </c>
      <c r="J79" s="55">
        <f>EFEITO!$J$79*EFEITO!$Y$79</f>
        <v>0</v>
      </c>
      <c r="K79" s="55">
        <f ca="1">EFEITO!$L$79*EFEITO!$Z$79</f>
        <v>31.136800256146014</v>
      </c>
      <c r="L79" s="55">
        <f>EFEITO!$N$79*EFEITO!$AA$79</f>
        <v>22.179210547670309</v>
      </c>
      <c r="M79" s="55">
        <f>$J$79-EFEITO!$K$79*EFEITO!$Y$79</f>
        <v>0</v>
      </c>
      <c r="N79" s="55">
        <f ca="1">$K$79-EFEITO!$M$79*EFEITO!$Z$79</f>
        <v>0</v>
      </c>
      <c r="O79" s="55">
        <f>$L$79-EFEITO!$O$79*EFEITO!$AA$79</f>
        <v>0</v>
      </c>
      <c r="P79" s="39"/>
      <c r="Q79" s="39"/>
      <c r="R79" s="39"/>
      <c r="S79" s="39"/>
      <c r="T79" s="39"/>
      <c r="U79" s="39"/>
      <c r="V79" s="39"/>
      <c r="W79" s="39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1.25" customHeight="1" x14ac:dyDescent="0.2">
      <c r="A80" s="35" t="s">
        <v>21</v>
      </c>
      <c r="B80" s="35" t="s">
        <v>22</v>
      </c>
      <c r="C80" s="35" t="s">
        <v>23</v>
      </c>
      <c r="D80" s="35" t="s">
        <v>24</v>
      </c>
      <c r="E80" s="35" t="s">
        <v>27</v>
      </c>
      <c r="F80" s="35" t="s">
        <v>25</v>
      </c>
      <c r="G80" s="35" t="s">
        <v>25</v>
      </c>
      <c r="H80" s="35" t="s">
        <v>25</v>
      </c>
      <c r="I80" s="54">
        <v>44440</v>
      </c>
      <c r="J80" s="55">
        <f>EFEITO!$J$80*EFEITO!$Y$62</f>
        <v>0</v>
      </c>
      <c r="K80" s="55">
        <f ca="1">EFEITO!$L$80*EFEITO!$Z$116</f>
        <v>12.844362957210503</v>
      </c>
      <c r="L80" s="55">
        <f>EFEITO!$N$80*EFEITO!$AA$116</f>
        <v>13.307526328602185</v>
      </c>
      <c r="M80" s="55">
        <f>$J$80-EFEITO!$K$80*EFEITO!$Y$80</f>
        <v>0</v>
      </c>
      <c r="N80" s="55">
        <f ca="1">$K$80-EFEITO!$M$80*EFEITO!$Z$80</f>
        <v>8.3488359221868258</v>
      </c>
      <c r="O80" s="55">
        <f>$L$80-EFEITO!$O$80*EFEITO!$AA$80</f>
        <v>8.6498921135914202</v>
      </c>
      <c r="P80" s="39"/>
      <c r="Q80" s="39"/>
      <c r="R80" s="39"/>
      <c r="S80" s="39"/>
      <c r="T80" s="39"/>
      <c r="U80" s="39"/>
      <c r="V80" s="39"/>
      <c r="W80" s="39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1.25" customHeight="1" x14ac:dyDescent="0.2">
      <c r="A81" s="35" t="s">
        <v>21</v>
      </c>
      <c r="B81" s="35" t="s">
        <v>22</v>
      </c>
      <c r="C81" s="35" t="s">
        <v>23</v>
      </c>
      <c r="D81" s="35" t="s">
        <v>24</v>
      </c>
      <c r="E81" s="35" t="s">
        <v>27</v>
      </c>
      <c r="F81" s="35" t="s">
        <v>25</v>
      </c>
      <c r="G81" s="35" t="s">
        <v>25</v>
      </c>
      <c r="H81" s="35" t="s">
        <v>25</v>
      </c>
      <c r="I81" s="54">
        <v>44470</v>
      </c>
      <c r="J81" s="55">
        <f>EFEITO!$J$81*EFEITO!$Y$62</f>
        <v>0</v>
      </c>
      <c r="K81" s="55">
        <f ca="1">EFEITO!$L$81*EFEITO!$Z$116</f>
        <v>12.844362957210503</v>
      </c>
      <c r="L81" s="55">
        <f>EFEITO!$N$81*EFEITO!$AA$116</f>
        <v>13.307526328602185</v>
      </c>
      <c r="M81" s="55">
        <f>$J$81-EFEITO!$K$81*EFEITO!$Y$81</f>
        <v>0</v>
      </c>
      <c r="N81" s="55">
        <f ca="1">$K$81-EFEITO!$M$81*EFEITO!$Z$81</f>
        <v>8.3488359221868258</v>
      </c>
      <c r="O81" s="55">
        <f>$L$81-EFEITO!$O$81*EFEITO!$AA$81</f>
        <v>8.6498921135914202</v>
      </c>
      <c r="P81" s="39"/>
      <c r="Q81" s="39"/>
      <c r="R81" s="39"/>
      <c r="S81" s="39"/>
      <c r="T81" s="39"/>
      <c r="U81" s="39"/>
      <c r="V81" s="39"/>
      <c r="W81" s="39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1.25" customHeight="1" x14ac:dyDescent="0.2">
      <c r="A82" s="35" t="s">
        <v>21</v>
      </c>
      <c r="B82" s="35" t="s">
        <v>22</v>
      </c>
      <c r="C82" s="35" t="s">
        <v>23</v>
      </c>
      <c r="D82" s="35" t="s">
        <v>24</v>
      </c>
      <c r="E82" s="35" t="s">
        <v>27</v>
      </c>
      <c r="F82" s="35" t="s">
        <v>25</v>
      </c>
      <c r="G82" s="35" t="s">
        <v>25</v>
      </c>
      <c r="H82" s="35" t="s">
        <v>25</v>
      </c>
      <c r="I82" s="54">
        <v>44501</v>
      </c>
      <c r="J82" s="55">
        <f>EFEITO!$J$82*EFEITO!$Y$62</f>
        <v>0</v>
      </c>
      <c r="K82" s="55">
        <f ca="1">EFEITO!$L$82*EFEITO!$Z$116</f>
        <v>19.266544435815756</v>
      </c>
      <c r="L82" s="55">
        <f>EFEITO!$N$82*EFEITO!$AA$116</f>
        <v>19.961289492903276</v>
      </c>
      <c r="M82" s="55">
        <f>$J$82-EFEITO!$K$82*EFEITO!$Y$82</f>
        <v>0</v>
      </c>
      <c r="N82" s="55">
        <f ca="1">$K$82-EFEITO!$M$82*EFEITO!$Z$82</f>
        <v>12.523253883280242</v>
      </c>
      <c r="O82" s="55">
        <f>$L$82-EFEITO!$O$82*EFEITO!$AA$82</f>
        <v>12.97483817038713</v>
      </c>
      <c r="P82" s="39"/>
      <c r="Q82" s="39"/>
      <c r="R82" s="39"/>
      <c r="S82" s="39"/>
      <c r="T82" s="39"/>
      <c r="U82" s="39"/>
      <c r="V82" s="39"/>
      <c r="W82" s="39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1.25" customHeight="1" x14ac:dyDescent="0.2">
      <c r="A83" s="35" t="s">
        <v>21</v>
      </c>
      <c r="B83" s="35" t="s">
        <v>22</v>
      </c>
      <c r="C83" s="35" t="s">
        <v>23</v>
      </c>
      <c r="D83" s="35" t="s">
        <v>24</v>
      </c>
      <c r="E83" s="35" t="s">
        <v>27</v>
      </c>
      <c r="F83" s="35" t="s">
        <v>25</v>
      </c>
      <c r="G83" s="35" t="s">
        <v>25</v>
      </c>
      <c r="H83" s="35" t="s">
        <v>25</v>
      </c>
      <c r="I83" s="54">
        <v>44531</v>
      </c>
      <c r="J83" s="55">
        <f>EFEITO!$J$83*EFEITO!$Y$62</f>
        <v>0</v>
      </c>
      <c r="K83" s="55">
        <f ca="1">EFEITO!$L$83*EFEITO!$Z$116</f>
        <v>19.266544435815756</v>
      </c>
      <c r="L83" s="55">
        <f>EFEITO!$N$83*EFEITO!$AA$116</f>
        <v>19.961289492903276</v>
      </c>
      <c r="M83" s="55">
        <f>$J$83-EFEITO!$K$83*EFEITO!$Y$83</f>
        <v>0</v>
      </c>
      <c r="N83" s="55">
        <f ca="1">$K$83-EFEITO!$M$83*EFEITO!$Z$83</f>
        <v>12.523253883280242</v>
      </c>
      <c r="O83" s="55">
        <f>$L$83-EFEITO!$O$83*EFEITO!$AA$83</f>
        <v>12.97483817038713</v>
      </c>
      <c r="P83" s="39"/>
      <c r="Q83" s="39"/>
      <c r="R83" s="39"/>
      <c r="S83" s="39"/>
      <c r="T83" s="39"/>
      <c r="U83" s="39"/>
      <c r="V83" s="39"/>
      <c r="W83" s="39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1.25" customHeight="1" x14ac:dyDescent="0.2">
      <c r="A84" s="35" t="s">
        <v>21</v>
      </c>
      <c r="B84" s="35" t="s">
        <v>22</v>
      </c>
      <c r="C84" s="35" t="s">
        <v>23</v>
      </c>
      <c r="D84" s="35" t="s">
        <v>24</v>
      </c>
      <c r="E84" s="35" t="s">
        <v>27</v>
      </c>
      <c r="F84" s="35" t="s">
        <v>25</v>
      </c>
      <c r="G84" s="35" t="s">
        <v>25</v>
      </c>
      <c r="H84" s="35" t="s">
        <v>25</v>
      </c>
      <c r="I84" s="54">
        <v>44562</v>
      </c>
      <c r="J84" s="55">
        <f>EFEITO!$J$84*EFEITO!$Y$62</f>
        <v>0</v>
      </c>
      <c r="K84" s="55">
        <f ca="1">EFEITO!$L$84*EFEITO!$Z$116</f>
        <v>19.266544435815756</v>
      </c>
      <c r="L84" s="55">
        <f>EFEITO!$N$84*EFEITO!$AA$116</f>
        <v>19.961289492903276</v>
      </c>
      <c r="M84" s="55">
        <f>$J$84-EFEITO!$K$84*EFEITO!$Y$84</f>
        <v>0</v>
      </c>
      <c r="N84" s="55">
        <f ca="1">$K$84-EFEITO!$M$84*EFEITO!$Z$84</f>
        <v>12.523253883280242</v>
      </c>
      <c r="O84" s="55">
        <f>$L$84-EFEITO!$O$84*EFEITO!$AA$84</f>
        <v>12.97483817038713</v>
      </c>
      <c r="P84" s="39"/>
      <c r="Q84" s="39"/>
      <c r="R84" s="39"/>
      <c r="S84" s="39"/>
      <c r="T84" s="39"/>
      <c r="U84" s="39"/>
      <c r="V84" s="39"/>
      <c r="W84" s="39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1.25" customHeight="1" x14ac:dyDescent="0.2">
      <c r="A85" s="35" t="s">
        <v>21</v>
      </c>
      <c r="B85" s="35" t="s">
        <v>22</v>
      </c>
      <c r="C85" s="35" t="s">
        <v>23</v>
      </c>
      <c r="D85" s="35" t="s">
        <v>24</v>
      </c>
      <c r="E85" s="35" t="s">
        <v>27</v>
      </c>
      <c r="F85" s="35" t="s">
        <v>25</v>
      </c>
      <c r="G85" s="35" t="s">
        <v>25</v>
      </c>
      <c r="H85" s="35" t="s">
        <v>25</v>
      </c>
      <c r="I85" s="54">
        <v>44593</v>
      </c>
      <c r="J85" s="55">
        <f>EFEITO!$J$85*EFEITO!$Y$62</f>
        <v>0</v>
      </c>
      <c r="K85" s="55">
        <f ca="1">EFEITO!$L$85*EFEITO!$Z$116</f>
        <v>38.533088871631513</v>
      </c>
      <c r="L85" s="55">
        <f>EFEITO!$N$85*EFEITO!$AA$116</f>
        <v>39.922578985806553</v>
      </c>
      <c r="M85" s="55">
        <f>$J$85-EFEITO!$K$85*EFEITO!$Y$85</f>
        <v>0</v>
      </c>
      <c r="N85" s="55">
        <f ca="1">$K$85-EFEITO!$M$85*EFEITO!$Z$85</f>
        <v>25.046507766560484</v>
      </c>
      <c r="O85" s="55">
        <f>$L$85-EFEITO!$O$85*EFEITO!$AA$85</f>
        <v>25.949676340774261</v>
      </c>
      <c r="P85" s="39"/>
      <c r="Q85" s="39"/>
      <c r="R85" s="39"/>
      <c r="S85" s="39"/>
      <c r="T85" s="39"/>
      <c r="U85" s="39"/>
      <c r="V85" s="39"/>
      <c r="W85" s="39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1.25" customHeight="1" x14ac:dyDescent="0.2">
      <c r="A86" s="35" t="s">
        <v>21</v>
      </c>
      <c r="B86" s="35" t="s">
        <v>22</v>
      </c>
      <c r="C86" s="35" t="s">
        <v>23</v>
      </c>
      <c r="D86" s="35" t="s">
        <v>24</v>
      </c>
      <c r="E86" s="35" t="s">
        <v>27</v>
      </c>
      <c r="F86" s="35" t="s">
        <v>25</v>
      </c>
      <c r="G86" s="35" t="s">
        <v>25</v>
      </c>
      <c r="H86" s="35" t="s">
        <v>25</v>
      </c>
      <c r="I86" s="54">
        <v>44621</v>
      </c>
      <c r="J86" s="55">
        <f>EFEITO!$J$86*EFEITO!$Y$62</f>
        <v>0</v>
      </c>
      <c r="K86" s="55">
        <f ca="1">EFEITO!$L$86*EFEITO!$Z$116</f>
        <v>64.221814786052519</v>
      </c>
      <c r="L86" s="55">
        <f>EFEITO!$N$86*EFEITO!$AA$116</f>
        <v>66.537631643010926</v>
      </c>
      <c r="M86" s="55">
        <f>$J$86-EFEITO!$K$86*EFEITO!$Y$86</f>
        <v>0</v>
      </c>
      <c r="N86" s="55">
        <f ca="1">$K$86-EFEITO!$M$86*EFEITO!$Z$86</f>
        <v>41.74417961093414</v>
      </c>
      <c r="O86" s="55">
        <f>$L$86-EFEITO!$O$86*EFEITO!$AA$86</f>
        <v>43.249460567957101</v>
      </c>
      <c r="P86" s="39"/>
      <c r="Q86" s="39"/>
      <c r="R86" s="39"/>
      <c r="S86" s="39"/>
      <c r="T86" s="39"/>
      <c r="U86" s="39"/>
      <c r="V86" s="39"/>
      <c r="W86" s="39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1.25" customHeight="1" x14ac:dyDescent="0.2">
      <c r="A87" s="35" t="s">
        <v>21</v>
      </c>
      <c r="B87" s="35" t="s">
        <v>22</v>
      </c>
      <c r="C87" s="35" t="s">
        <v>23</v>
      </c>
      <c r="D87" s="35" t="s">
        <v>24</v>
      </c>
      <c r="E87" s="35" t="s">
        <v>27</v>
      </c>
      <c r="F87" s="35" t="s">
        <v>25</v>
      </c>
      <c r="G87" s="35" t="s">
        <v>25</v>
      </c>
      <c r="H87" s="35" t="s">
        <v>25</v>
      </c>
      <c r="I87" s="54">
        <v>44652</v>
      </c>
      <c r="J87" s="55">
        <f>EFEITO!$J$87*EFEITO!$Y$62</f>
        <v>0</v>
      </c>
      <c r="K87" s="55">
        <f ca="1">EFEITO!$L$87*EFEITO!$Z$116</f>
        <v>64.221814786052519</v>
      </c>
      <c r="L87" s="55">
        <f>EFEITO!$N$87*EFEITO!$AA$116</f>
        <v>66.537631643010926</v>
      </c>
      <c r="M87" s="55">
        <f>$J$87-EFEITO!$K$87*EFEITO!$Y$87</f>
        <v>0</v>
      </c>
      <c r="N87" s="55">
        <f ca="1">$K$87-EFEITO!$M$87*EFEITO!$Z$87</f>
        <v>41.74417961093414</v>
      </c>
      <c r="O87" s="55">
        <f>$L$87-EFEITO!$O$87*EFEITO!$AA$87</f>
        <v>43.249460567957101</v>
      </c>
      <c r="P87" s="39"/>
      <c r="Q87" s="39"/>
      <c r="R87" s="39"/>
      <c r="S87" s="39"/>
      <c r="T87" s="39"/>
      <c r="U87" s="39"/>
      <c r="V87" s="39"/>
      <c r="W87" s="39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1.25" customHeight="1" x14ac:dyDescent="0.2">
      <c r="A88" s="35" t="s">
        <v>21</v>
      </c>
      <c r="B88" s="35" t="s">
        <v>22</v>
      </c>
      <c r="C88" s="35" t="s">
        <v>23</v>
      </c>
      <c r="D88" s="35" t="s">
        <v>24</v>
      </c>
      <c r="E88" s="35" t="s">
        <v>27</v>
      </c>
      <c r="F88" s="35" t="s">
        <v>25</v>
      </c>
      <c r="G88" s="35" t="s">
        <v>25</v>
      </c>
      <c r="H88" s="35" t="s">
        <v>25</v>
      </c>
      <c r="I88" s="54">
        <v>44682</v>
      </c>
      <c r="J88" s="55">
        <f>EFEITO!$J$88*EFEITO!$Y$62</f>
        <v>0</v>
      </c>
      <c r="K88" s="55">
        <f ca="1">EFEITO!$L$88*EFEITO!$Z$116</f>
        <v>64.221814786052519</v>
      </c>
      <c r="L88" s="55">
        <f>EFEITO!$N$88*EFEITO!$AA$116</f>
        <v>66.537631643010926</v>
      </c>
      <c r="M88" s="55">
        <f>$J$88-EFEITO!$K$88*EFEITO!$Y$88</f>
        <v>0</v>
      </c>
      <c r="N88" s="55">
        <f ca="1">$K$88-EFEITO!$M$88*EFEITO!$Z$88</f>
        <v>41.74417961093414</v>
      </c>
      <c r="O88" s="55">
        <f>$L$88-EFEITO!$O$88*EFEITO!$AA$88</f>
        <v>43.249460567957101</v>
      </c>
      <c r="P88" s="39"/>
      <c r="Q88" s="39"/>
      <c r="R88" s="39"/>
      <c r="S88" s="39"/>
      <c r="T88" s="39"/>
      <c r="U88" s="39"/>
      <c r="V88" s="39"/>
      <c r="W88" s="39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1.25" customHeight="1" x14ac:dyDescent="0.2">
      <c r="A89" s="35" t="s">
        <v>21</v>
      </c>
      <c r="B89" s="35" t="s">
        <v>22</v>
      </c>
      <c r="C89" s="35" t="s">
        <v>23</v>
      </c>
      <c r="D89" s="35" t="s">
        <v>24</v>
      </c>
      <c r="E89" s="35" t="s">
        <v>27</v>
      </c>
      <c r="F89" s="35" t="s">
        <v>25</v>
      </c>
      <c r="G89" s="35" t="s">
        <v>25</v>
      </c>
      <c r="H89" s="35" t="s">
        <v>25</v>
      </c>
      <c r="I89" s="54">
        <v>44713</v>
      </c>
      <c r="J89" s="55">
        <f>EFEITO!$J$89*EFEITO!$Y$62</f>
        <v>0</v>
      </c>
      <c r="K89" s="55">
        <f ca="1">EFEITO!$L$89*EFEITO!$Z$116</f>
        <v>64.221814786052519</v>
      </c>
      <c r="L89" s="55">
        <f>EFEITO!$N$89*EFEITO!$AA$116</f>
        <v>66.537631643010926</v>
      </c>
      <c r="M89" s="55">
        <f>$J$89-EFEITO!$K$89*EFEITO!$Y$89</f>
        <v>0</v>
      </c>
      <c r="N89" s="55">
        <f ca="1">$K$89-EFEITO!$M$89*EFEITO!$Z$89</f>
        <v>41.74417961093414</v>
      </c>
      <c r="O89" s="55">
        <f>$L$89-EFEITO!$O$89*EFEITO!$AA$89</f>
        <v>43.249460567957101</v>
      </c>
      <c r="P89" s="39"/>
      <c r="Q89" s="39"/>
      <c r="R89" s="39"/>
      <c r="S89" s="39"/>
      <c r="T89" s="39"/>
      <c r="U89" s="39"/>
      <c r="V89" s="39"/>
      <c r="W89" s="39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1.25" customHeight="1" x14ac:dyDescent="0.2">
      <c r="A90" s="35" t="s">
        <v>21</v>
      </c>
      <c r="B90" s="35" t="s">
        <v>22</v>
      </c>
      <c r="C90" s="35" t="s">
        <v>23</v>
      </c>
      <c r="D90" s="35" t="s">
        <v>24</v>
      </c>
      <c r="E90" s="35" t="s">
        <v>27</v>
      </c>
      <c r="F90" s="35" t="s">
        <v>25</v>
      </c>
      <c r="G90" s="35" t="s">
        <v>25</v>
      </c>
      <c r="H90" s="35" t="s">
        <v>25</v>
      </c>
      <c r="I90" s="54">
        <v>44743</v>
      </c>
      <c r="J90" s="55">
        <f>EFEITO!$J$90*EFEITO!$Y$62</f>
        <v>0</v>
      </c>
      <c r="K90" s="55">
        <f ca="1">EFEITO!$L$90*EFEITO!$Z$116</f>
        <v>64.221814786052519</v>
      </c>
      <c r="L90" s="55">
        <f>EFEITO!$N$90*EFEITO!$AA$116</f>
        <v>66.537631643010926</v>
      </c>
      <c r="M90" s="55">
        <f>$J$90-EFEITO!$K$90*EFEITO!$Y$90</f>
        <v>0</v>
      </c>
      <c r="N90" s="55">
        <f ca="1">$K$90-EFEITO!$M$90*EFEITO!$Z$90</f>
        <v>41.74417961093414</v>
      </c>
      <c r="O90" s="55">
        <f>$L$90-EFEITO!$O$90*EFEITO!$AA$90</f>
        <v>43.249460567957101</v>
      </c>
      <c r="P90" s="39"/>
      <c r="Q90" s="39"/>
      <c r="R90" s="39"/>
      <c r="S90" s="39"/>
      <c r="T90" s="39"/>
      <c r="U90" s="39"/>
      <c r="V90" s="39"/>
      <c r="W90" s="39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1.25" customHeight="1" x14ac:dyDescent="0.2">
      <c r="A91" s="35" t="s">
        <v>21</v>
      </c>
      <c r="B91" s="35" t="s">
        <v>22</v>
      </c>
      <c r="C91" s="35" t="s">
        <v>23</v>
      </c>
      <c r="D91" s="35" t="s">
        <v>24</v>
      </c>
      <c r="E91" s="35" t="s">
        <v>27</v>
      </c>
      <c r="F91" s="35" t="s">
        <v>25</v>
      </c>
      <c r="G91" s="35" t="s">
        <v>25</v>
      </c>
      <c r="H91" s="35" t="s">
        <v>25</v>
      </c>
      <c r="I91" s="54">
        <v>44774</v>
      </c>
      <c r="J91" s="55">
        <f>EFEITO!$J$91*EFEITO!$Y$62</f>
        <v>0</v>
      </c>
      <c r="K91" s="55">
        <f ca="1">EFEITO!$L$91*EFEITO!$Z$116</f>
        <v>64.221814786052519</v>
      </c>
      <c r="L91" s="55">
        <f>EFEITO!$N$91*EFEITO!$AA$116</f>
        <v>66.537631643010926</v>
      </c>
      <c r="M91" s="55">
        <f>$J$91-EFEITO!$K$91*EFEITO!$Y$91</f>
        <v>0</v>
      </c>
      <c r="N91" s="55">
        <f ca="1">$K$91-EFEITO!$M$91*EFEITO!$Z$91</f>
        <v>41.74417961093414</v>
      </c>
      <c r="O91" s="55">
        <f>$L$91-EFEITO!$O$91*EFEITO!$AA$91</f>
        <v>43.249460567957101</v>
      </c>
      <c r="P91" s="39"/>
      <c r="Q91" s="39"/>
      <c r="R91" s="39"/>
      <c r="S91" s="39"/>
      <c r="T91" s="39"/>
      <c r="U91" s="39"/>
      <c r="V91" s="39"/>
      <c r="W91" s="39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1.25" customHeight="1" x14ac:dyDescent="0.2">
      <c r="A92" s="35" t="s">
        <v>21</v>
      </c>
      <c r="B92" s="35" t="s">
        <v>22</v>
      </c>
      <c r="C92" s="35" t="s">
        <v>23</v>
      </c>
      <c r="D92" s="35" t="s">
        <v>24</v>
      </c>
      <c r="E92" s="35" t="s">
        <v>28</v>
      </c>
      <c r="F92" s="35" t="s">
        <v>25</v>
      </c>
      <c r="G92" s="35" t="s">
        <v>25</v>
      </c>
      <c r="H92" s="35" t="s">
        <v>25</v>
      </c>
      <c r="I92" s="54">
        <v>44440</v>
      </c>
      <c r="J92" s="55">
        <f>EFEITO!$J$92*EFEITO!$Y$62</f>
        <v>0</v>
      </c>
      <c r="K92" s="55">
        <f ca="1">EFEITO!$L$92*EFEITO!$Z$116</f>
        <v>28.257598505863111</v>
      </c>
      <c r="L92" s="55">
        <f>EFEITO!$N$92*EFEITO!$AA$116</f>
        <v>29.276557922924809</v>
      </c>
      <c r="M92" s="55">
        <f>$J$92-EFEITO!$K$92*EFEITO!$Y$92</f>
        <v>0</v>
      </c>
      <c r="N92" s="55">
        <f ca="1">$K$92-EFEITO!$M$92*EFEITO!$Z$92</f>
        <v>11.303039402345245</v>
      </c>
      <c r="O92" s="55">
        <f>$L$92-EFEITO!$O$92*EFEITO!$AA$92</f>
        <v>11.710623169169924</v>
      </c>
      <c r="P92" s="39"/>
      <c r="Q92" s="39"/>
      <c r="R92" s="39"/>
      <c r="S92" s="39"/>
      <c r="T92" s="39"/>
      <c r="U92" s="39"/>
      <c r="V92" s="39"/>
      <c r="W92" s="39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1.25" customHeight="1" x14ac:dyDescent="0.2">
      <c r="A93" s="35" t="s">
        <v>21</v>
      </c>
      <c r="B93" s="35" t="s">
        <v>22</v>
      </c>
      <c r="C93" s="35" t="s">
        <v>23</v>
      </c>
      <c r="D93" s="35" t="s">
        <v>24</v>
      </c>
      <c r="E93" s="35" t="s">
        <v>28</v>
      </c>
      <c r="F93" s="35" t="s">
        <v>25</v>
      </c>
      <c r="G93" s="35" t="s">
        <v>25</v>
      </c>
      <c r="H93" s="35" t="s">
        <v>25</v>
      </c>
      <c r="I93" s="54">
        <v>44470</v>
      </c>
      <c r="J93" s="55">
        <f>EFEITO!$J$93*EFEITO!$Y$62</f>
        <v>0</v>
      </c>
      <c r="K93" s="55">
        <f ca="1">EFEITO!$L$93*EFEITO!$Z$116</f>
        <v>28.471671221816621</v>
      </c>
      <c r="L93" s="55">
        <f>EFEITO!$N$93*EFEITO!$AA$116</f>
        <v>29.498350028401511</v>
      </c>
      <c r="M93" s="55">
        <f>$J$93-EFEITO!$K$93*EFEITO!$Y$93</f>
        <v>0</v>
      </c>
      <c r="N93" s="55">
        <f ca="1">$K$93-EFEITO!$M$93*EFEITO!$Z$93</f>
        <v>11.388668488726651</v>
      </c>
      <c r="O93" s="55">
        <f>$L$93-EFEITO!$O$93*EFEITO!$AA$93</f>
        <v>11.799340011360602</v>
      </c>
      <c r="P93" s="39"/>
      <c r="Q93" s="39"/>
      <c r="R93" s="39"/>
      <c r="S93" s="39"/>
      <c r="T93" s="39"/>
      <c r="U93" s="39"/>
      <c r="V93" s="39"/>
      <c r="W93" s="39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1.25" customHeight="1" x14ac:dyDescent="0.2">
      <c r="A94" s="35" t="s">
        <v>21</v>
      </c>
      <c r="B94" s="35" t="s">
        <v>22</v>
      </c>
      <c r="C94" s="35" t="s">
        <v>23</v>
      </c>
      <c r="D94" s="35" t="s">
        <v>24</v>
      </c>
      <c r="E94" s="35" t="s">
        <v>28</v>
      </c>
      <c r="F94" s="35" t="s">
        <v>25</v>
      </c>
      <c r="G94" s="35" t="s">
        <v>25</v>
      </c>
      <c r="H94" s="35" t="s">
        <v>25</v>
      </c>
      <c r="I94" s="54">
        <v>44501</v>
      </c>
      <c r="J94" s="55">
        <f>EFEITO!$J$94*EFEITO!$Y$62</f>
        <v>0</v>
      </c>
      <c r="K94" s="55">
        <f ca="1">EFEITO!$L$94*EFEITO!$Z$116</f>
        <v>44.955270350236766</v>
      </c>
      <c r="L94" s="55">
        <f>EFEITO!$N$94*EFEITO!$AA$116</f>
        <v>46.576342150107649</v>
      </c>
      <c r="M94" s="55">
        <f>$J$94-EFEITO!$K$94*EFEITO!$Y$94</f>
        <v>0</v>
      </c>
      <c r="N94" s="55">
        <f ca="1">$K$94-EFEITO!$M$94*EFEITO!$Z$94</f>
        <v>17.982108140094709</v>
      </c>
      <c r="O94" s="55">
        <f>$L$94-EFEITO!$O$94*EFEITO!$AA$94</f>
        <v>18.630536860043062</v>
      </c>
      <c r="P94" s="39"/>
      <c r="Q94" s="39"/>
      <c r="R94" s="39"/>
      <c r="S94" s="39"/>
      <c r="T94" s="39"/>
      <c r="U94" s="39"/>
      <c r="V94" s="39"/>
      <c r="W94" s="39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1.25" customHeight="1" x14ac:dyDescent="0.2">
      <c r="A95" s="35" t="s">
        <v>21</v>
      </c>
      <c r="B95" s="35" t="s">
        <v>22</v>
      </c>
      <c r="C95" s="35" t="s">
        <v>23</v>
      </c>
      <c r="D95" s="35" t="s">
        <v>24</v>
      </c>
      <c r="E95" s="35" t="s">
        <v>28</v>
      </c>
      <c r="F95" s="35" t="s">
        <v>25</v>
      </c>
      <c r="G95" s="35" t="s">
        <v>25</v>
      </c>
      <c r="H95" s="35" t="s">
        <v>25</v>
      </c>
      <c r="I95" s="54">
        <v>44531</v>
      </c>
      <c r="J95" s="55">
        <f>EFEITO!$J$95*EFEITO!$Y$62</f>
        <v>0</v>
      </c>
      <c r="K95" s="55">
        <f ca="1">EFEITO!$L$95*EFEITO!$Z$116</f>
        <v>44.955270350236766</v>
      </c>
      <c r="L95" s="55">
        <f>EFEITO!$N$95*EFEITO!$AA$116</f>
        <v>46.576342150107649</v>
      </c>
      <c r="M95" s="55">
        <f>$J$95-EFEITO!$K$95*EFEITO!$Y$95</f>
        <v>0</v>
      </c>
      <c r="N95" s="55">
        <f ca="1">$K$95-EFEITO!$M$95*EFEITO!$Z$95</f>
        <v>17.982108140094709</v>
      </c>
      <c r="O95" s="55">
        <f>$L$95-EFEITO!$O$95*EFEITO!$AA$95</f>
        <v>18.630536860043062</v>
      </c>
      <c r="P95" s="39"/>
      <c r="Q95" s="39"/>
      <c r="R95" s="39"/>
      <c r="S95" s="39"/>
      <c r="T95" s="39"/>
      <c r="U95" s="39"/>
      <c r="V95" s="39"/>
      <c r="W95" s="39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1.25" customHeight="1" x14ac:dyDescent="0.2">
      <c r="A96" s="35" t="s">
        <v>21</v>
      </c>
      <c r="B96" s="35" t="s">
        <v>22</v>
      </c>
      <c r="C96" s="35" t="s">
        <v>23</v>
      </c>
      <c r="D96" s="35" t="s">
        <v>24</v>
      </c>
      <c r="E96" s="35" t="s">
        <v>28</v>
      </c>
      <c r="F96" s="35" t="s">
        <v>25</v>
      </c>
      <c r="G96" s="35" t="s">
        <v>25</v>
      </c>
      <c r="H96" s="35" t="s">
        <v>25</v>
      </c>
      <c r="I96" s="54">
        <v>44562</v>
      </c>
      <c r="J96" s="55">
        <f>EFEITO!$J$96*EFEITO!$Y$62</f>
        <v>0</v>
      </c>
      <c r="K96" s="55">
        <f ca="1">EFEITO!$L$96*EFEITO!$Z$116</f>
        <v>44.955270350236766</v>
      </c>
      <c r="L96" s="55">
        <f>EFEITO!$N$96*EFEITO!$AA$116</f>
        <v>46.576342150107649</v>
      </c>
      <c r="M96" s="55">
        <f>$J$96-EFEITO!$K$96*EFEITO!$Y$96</f>
        <v>0</v>
      </c>
      <c r="N96" s="55">
        <f ca="1">$K$96-EFEITO!$M$96*EFEITO!$Z$96</f>
        <v>17.982108140094709</v>
      </c>
      <c r="O96" s="55">
        <f>$L$96-EFEITO!$O$96*EFEITO!$AA$96</f>
        <v>18.630536860043062</v>
      </c>
      <c r="P96" s="39"/>
      <c r="Q96" s="39"/>
      <c r="R96" s="39"/>
      <c r="S96" s="39"/>
      <c r="T96" s="39"/>
      <c r="U96" s="39"/>
      <c r="V96" s="39"/>
      <c r="W96" s="39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1.25" customHeight="1" x14ac:dyDescent="0.2">
      <c r="A97" s="35" t="s">
        <v>21</v>
      </c>
      <c r="B97" s="35" t="s">
        <v>22</v>
      </c>
      <c r="C97" s="35" t="s">
        <v>23</v>
      </c>
      <c r="D97" s="35" t="s">
        <v>24</v>
      </c>
      <c r="E97" s="35" t="s">
        <v>28</v>
      </c>
      <c r="F97" s="35" t="s">
        <v>25</v>
      </c>
      <c r="G97" s="35" t="s">
        <v>25</v>
      </c>
      <c r="H97" s="35" t="s">
        <v>25</v>
      </c>
      <c r="I97" s="54">
        <v>44593</v>
      </c>
      <c r="J97" s="55">
        <f>EFEITO!$J$97*EFEITO!$Y$62</f>
        <v>0</v>
      </c>
      <c r="K97" s="55">
        <f ca="1">EFEITO!$L$97*EFEITO!$Z$116</f>
        <v>89.910540700473533</v>
      </c>
      <c r="L97" s="55">
        <f>EFEITO!$N$97*EFEITO!$AA$116</f>
        <v>93.152684300215299</v>
      </c>
      <c r="M97" s="55">
        <f>$J$97-EFEITO!$K$97*EFEITO!$Y$97</f>
        <v>0</v>
      </c>
      <c r="N97" s="55">
        <f ca="1">$K$97-EFEITO!$M$97*EFEITO!$Z$97</f>
        <v>35.964216280189419</v>
      </c>
      <c r="O97" s="55">
        <f>$L$97-EFEITO!$O$97*EFEITO!$AA$97</f>
        <v>37.261073720086124</v>
      </c>
      <c r="P97" s="39"/>
      <c r="Q97" s="39"/>
      <c r="R97" s="39"/>
      <c r="S97" s="39"/>
      <c r="T97" s="39"/>
      <c r="U97" s="39"/>
      <c r="V97" s="39"/>
      <c r="W97" s="39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1.25" customHeight="1" x14ac:dyDescent="0.2">
      <c r="A98" s="35" t="s">
        <v>21</v>
      </c>
      <c r="B98" s="35" t="s">
        <v>22</v>
      </c>
      <c r="C98" s="35" t="s">
        <v>23</v>
      </c>
      <c r="D98" s="35" t="s">
        <v>24</v>
      </c>
      <c r="E98" s="35" t="s">
        <v>28</v>
      </c>
      <c r="F98" s="35" t="s">
        <v>25</v>
      </c>
      <c r="G98" s="35" t="s">
        <v>25</v>
      </c>
      <c r="H98" s="35" t="s">
        <v>25</v>
      </c>
      <c r="I98" s="54">
        <v>44621</v>
      </c>
      <c r="J98" s="55">
        <f>EFEITO!$J$98*EFEITO!$Y$62</f>
        <v>0</v>
      </c>
      <c r="K98" s="55">
        <f ca="1">EFEITO!$L$98*EFEITO!$Z$116</f>
        <v>120.09479364991823</v>
      </c>
      <c r="L98" s="55">
        <f>EFEITO!$N$98*EFEITO!$AA$116</f>
        <v>124.42537117243045</v>
      </c>
      <c r="M98" s="55">
        <f>$J$98-EFEITO!$K$98*EFEITO!$Y$98</f>
        <v>0</v>
      </c>
      <c r="N98" s="55">
        <f ca="1">$K$98-EFEITO!$M$98*EFEITO!$Z$98</f>
        <v>48.037917459967304</v>
      </c>
      <c r="O98" s="55">
        <f>$L$98-EFEITO!$O$98*EFEITO!$AA$98</f>
        <v>49.770148468972181</v>
      </c>
      <c r="P98" s="39"/>
      <c r="Q98" s="39"/>
      <c r="R98" s="39"/>
      <c r="S98" s="39"/>
      <c r="T98" s="39"/>
      <c r="U98" s="39"/>
      <c r="V98" s="39"/>
      <c r="W98" s="39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1.25" customHeight="1" x14ac:dyDescent="0.2">
      <c r="A99" s="35" t="s">
        <v>21</v>
      </c>
      <c r="B99" s="35" t="s">
        <v>22</v>
      </c>
      <c r="C99" s="35" t="s">
        <v>23</v>
      </c>
      <c r="D99" s="35" t="s">
        <v>24</v>
      </c>
      <c r="E99" s="35" t="s">
        <v>28</v>
      </c>
      <c r="F99" s="35" t="s">
        <v>25</v>
      </c>
      <c r="G99" s="35" t="s">
        <v>25</v>
      </c>
      <c r="H99" s="35" t="s">
        <v>25</v>
      </c>
      <c r="I99" s="54">
        <v>44652</v>
      </c>
      <c r="J99" s="55">
        <f>EFEITO!$J$99*EFEITO!$Y$62</f>
        <v>0</v>
      </c>
      <c r="K99" s="55">
        <f ca="1">EFEITO!$L$99*EFEITO!$Z$116</f>
        <v>105.32377624912614</v>
      </c>
      <c r="L99" s="55">
        <f>EFEITO!$N$99*EFEITO!$AA$116</f>
        <v>109.12171589453791</v>
      </c>
      <c r="M99" s="55">
        <f>$J$99-EFEITO!$K$99*EFEITO!$Y$99</f>
        <v>0</v>
      </c>
      <c r="N99" s="55">
        <f ca="1">$K$99-EFEITO!$M$99*EFEITO!$Z$99</f>
        <v>42.129510499650465</v>
      </c>
      <c r="O99" s="55">
        <f>$L$99-EFEITO!$O$99*EFEITO!$AA$99</f>
        <v>43.648686357815166</v>
      </c>
      <c r="P99" s="39"/>
      <c r="Q99" s="39"/>
      <c r="R99" s="39"/>
      <c r="S99" s="39"/>
      <c r="T99" s="39"/>
      <c r="U99" s="39"/>
      <c r="V99" s="39"/>
      <c r="W99" s="39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1.25" customHeight="1" x14ac:dyDescent="0.2">
      <c r="A100" s="35" t="s">
        <v>21</v>
      </c>
      <c r="B100" s="35" t="s">
        <v>22</v>
      </c>
      <c r="C100" s="35" t="s">
        <v>23</v>
      </c>
      <c r="D100" s="35" t="s">
        <v>24</v>
      </c>
      <c r="E100" s="35" t="s">
        <v>28</v>
      </c>
      <c r="F100" s="35" t="s">
        <v>25</v>
      </c>
      <c r="G100" s="35" t="s">
        <v>25</v>
      </c>
      <c r="H100" s="35" t="s">
        <v>25</v>
      </c>
      <c r="I100" s="54">
        <v>44682</v>
      </c>
      <c r="J100" s="55">
        <f>EFEITO!$J$100*EFEITO!$Y$62</f>
        <v>0</v>
      </c>
      <c r="K100" s="55">
        <f ca="1">EFEITO!$L$100*EFEITO!$Z$116</f>
        <v>105.96599439698666</v>
      </c>
      <c r="L100" s="55">
        <f>EFEITO!$N$100*EFEITO!$AA$116</f>
        <v>109.78709221096803</v>
      </c>
      <c r="M100" s="55">
        <f>$J$100-EFEITO!$K$100*EFEITO!$Y$100</f>
        <v>0</v>
      </c>
      <c r="N100" s="55">
        <f ca="1">$K$100-EFEITO!$M$100*EFEITO!$Z$100</f>
        <v>42.386397758794665</v>
      </c>
      <c r="O100" s="55">
        <f>$L$100-EFEITO!$O$100*EFEITO!$AA$100</f>
        <v>43.914836884387213</v>
      </c>
      <c r="P100" s="39"/>
      <c r="Q100" s="39"/>
      <c r="R100" s="39"/>
      <c r="S100" s="39"/>
      <c r="T100" s="39"/>
      <c r="U100" s="39"/>
      <c r="V100" s="39"/>
      <c r="W100" s="39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1.25" customHeight="1" x14ac:dyDescent="0.2">
      <c r="A101" s="35" t="s">
        <v>21</v>
      </c>
      <c r="B101" s="35" t="s">
        <v>22</v>
      </c>
      <c r="C101" s="35" t="s">
        <v>23</v>
      </c>
      <c r="D101" s="35" t="s">
        <v>24</v>
      </c>
      <c r="E101" s="35" t="s">
        <v>28</v>
      </c>
      <c r="F101" s="35" t="s">
        <v>25</v>
      </c>
      <c r="G101" s="35" t="s">
        <v>25</v>
      </c>
      <c r="H101" s="35" t="s">
        <v>25</v>
      </c>
      <c r="I101" s="54">
        <v>44713</v>
      </c>
      <c r="J101" s="55">
        <f>EFEITO!$J$101*EFEITO!$Y$62</f>
        <v>0</v>
      </c>
      <c r="K101" s="55">
        <f ca="1">EFEITO!$L$101*EFEITO!$Z$116</f>
        <v>102.96897637363755</v>
      </c>
      <c r="L101" s="55">
        <f>EFEITO!$N$101*EFEITO!$AA$116</f>
        <v>106.68200273429419</v>
      </c>
      <c r="M101" s="55">
        <f>$J$101-EFEITO!$K$101*EFEITO!$Y$101</f>
        <v>0</v>
      </c>
      <c r="N101" s="55">
        <f ca="1">$K$101-EFEITO!$M$101*EFEITO!$Z$101</f>
        <v>41.187590549455024</v>
      </c>
      <c r="O101" s="55">
        <f>$L$101-EFEITO!$O$101*EFEITO!$AA$101</f>
        <v>42.67280109371768</v>
      </c>
      <c r="P101" s="39"/>
      <c r="Q101" s="39"/>
      <c r="R101" s="39"/>
      <c r="S101" s="39"/>
      <c r="T101" s="39"/>
      <c r="U101" s="39"/>
      <c r="V101" s="39"/>
      <c r="W101" s="39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1.25" customHeight="1" x14ac:dyDescent="0.2">
      <c r="A102" s="35" t="s">
        <v>21</v>
      </c>
      <c r="B102" s="35" t="s">
        <v>22</v>
      </c>
      <c r="C102" s="35" t="s">
        <v>23</v>
      </c>
      <c r="D102" s="35" t="s">
        <v>24</v>
      </c>
      <c r="E102" s="35" t="s">
        <v>28</v>
      </c>
      <c r="F102" s="35" t="s">
        <v>25</v>
      </c>
      <c r="G102" s="35" t="s">
        <v>25</v>
      </c>
      <c r="H102" s="35" t="s">
        <v>25</v>
      </c>
      <c r="I102" s="54">
        <v>44743</v>
      </c>
      <c r="J102" s="55">
        <f>EFEITO!$J$102*EFEITO!$Y$62</f>
        <v>0</v>
      </c>
      <c r="K102" s="55">
        <f ca="1">EFEITO!$L$102*EFEITO!$Z$116</f>
        <v>104.68155810126561</v>
      </c>
      <c r="L102" s="55">
        <f>EFEITO!$N$102*EFEITO!$AA$116</f>
        <v>108.4563395781078</v>
      </c>
      <c r="M102" s="55">
        <f>$J$102-EFEITO!$K$102*EFEITO!$Y$102</f>
        <v>0</v>
      </c>
      <c r="N102" s="55">
        <f ca="1">$K$102-EFEITO!$M$102*EFEITO!$Z$102</f>
        <v>41.872623240506243</v>
      </c>
      <c r="O102" s="55">
        <f>$L$102-EFEITO!$O$102*EFEITO!$AA$102</f>
        <v>43.382535831243118</v>
      </c>
      <c r="P102" s="39"/>
      <c r="Q102" s="39"/>
      <c r="R102" s="39"/>
      <c r="S102" s="39"/>
      <c r="T102" s="39"/>
      <c r="U102" s="39"/>
      <c r="V102" s="39"/>
      <c r="W102" s="39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1.25" customHeight="1" x14ac:dyDescent="0.2">
      <c r="A103" s="35" t="s">
        <v>21</v>
      </c>
      <c r="B103" s="35" t="s">
        <v>22</v>
      </c>
      <c r="C103" s="35" t="s">
        <v>23</v>
      </c>
      <c r="D103" s="35" t="s">
        <v>24</v>
      </c>
      <c r="E103" s="35" t="s">
        <v>28</v>
      </c>
      <c r="F103" s="35" t="s">
        <v>25</v>
      </c>
      <c r="G103" s="35" t="s">
        <v>25</v>
      </c>
      <c r="H103" s="35" t="s">
        <v>25</v>
      </c>
      <c r="I103" s="54">
        <v>44774</v>
      </c>
      <c r="J103" s="55">
        <f>EFEITO!$J$103*EFEITO!$Y$62</f>
        <v>0</v>
      </c>
      <c r="K103" s="55">
        <f ca="1">EFEITO!$L$103*EFEITO!$Z$116</f>
        <v>105.75192168103315</v>
      </c>
      <c r="L103" s="55">
        <f>EFEITO!$N$103*EFEITO!$AA$116</f>
        <v>109.56530010549132</v>
      </c>
      <c r="M103" s="55">
        <f>$J$103-EFEITO!$K$103*EFEITO!$Y$103</f>
        <v>0</v>
      </c>
      <c r="N103" s="55">
        <f ca="1">$K$103-EFEITO!$M$103*EFEITO!$Z$103</f>
        <v>42.300768672413263</v>
      </c>
      <c r="O103" s="55">
        <f>$L$103-EFEITO!$O$103*EFEITO!$AA$103</f>
        <v>43.826120042196521</v>
      </c>
      <c r="P103" s="39"/>
      <c r="Q103" s="39"/>
      <c r="R103" s="39"/>
      <c r="S103" s="39"/>
      <c r="T103" s="39"/>
      <c r="U103" s="39"/>
      <c r="V103" s="39"/>
      <c r="W103" s="39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1.25" customHeight="1" x14ac:dyDescent="0.2">
      <c r="A104" s="35" t="s">
        <v>21</v>
      </c>
      <c r="B104" s="35" t="s">
        <v>22</v>
      </c>
      <c r="C104" s="35" t="s">
        <v>23</v>
      </c>
      <c r="D104" s="35" t="s">
        <v>24</v>
      </c>
      <c r="E104" s="35" t="s">
        <v>29</v>
      </c>
      <c r="F104" s="35" t="s">
        <v>25</v>
      </c>
      <c r="G104" s="35" t="s">
        <v>25</v>
      </c>
      <c r="H104" s="35" t="s">
        <v>25</v>
      </c>
      <c r="I104" s="54">
        <v>44440</v>
      </c>
      <c r="J104" s="55">
        <f>EFEITO!$J$104*EFEITO!$Y$62</f>
        <v>0</v>
      </c>
      <c r="K104" s="55">
        <f ca="1">EFEITO!$L$104*EFEITO!$Z$116</f>
        <v>25.688725914421006</v>
      </c>
      <c r="L104" s="55">
        <f>EFEITO!$N$104*EFEITO!$AA$116</f>
        <v>26.61505265720437</v>
      </c>
      <c r="M104" s="55">
        <f>$J$104-EFEITO!$K$104*EFEITO!$Y$104</f>
        <v>0</v>
      </c>
      <c r="N104" s="55">
        <f ca="1">$K$104-EFEITO!$M$104*EFEITO!$Z$104</f>
        <v>2.5688725914420978</v>
      </c>
      <c r="O104" s="55">
        <f>$L$104-EFEITO!$O$104*EFEITO!$AA$104</f>
        <v>2.6615052657204359</v>
      </c>
      <c r="P104" s="39"/>
      <c r="Q104" s="39"/>
      <c r="R104" s="39"/>
      <c r="S104" s="39"/>
      <c r="T104" s="39"/>
      <c r="U104" s="39"/>
      <c r="V104" s="39"/>
      <c r="W104" s="39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1.25" customHeight="1" x14ac:dyDescent="0.2">
      <c r="A105" s="35" t="s">
        <v>21</v>
      </c>
      <c r="B105" s="35" t="s">
        <v>22</v>
      </c>
      <c r="C105" s="35" t="s">
        <v>23</v>
      </c>
      <c r="D105" s="35" t="s">
        <v>24</v>
      </c>
      <c r="E105" s="35" t="s">
        <v>29</v>
      </c>
      <c r="F105" s="35" t="s">
        <v>25</v>
      </c>
      <c r="G105" s="35" t="s">
        <v>25</v>
      </c>
      <c r="H105" s="35" t="s">
        <v>25</v>
      </c>
      <c r="I105" s="54">
        <v>44470</v>
      </c>
      <c r="J105" s="55">
        <f>EFEITO!$J$105*EFEITO!$Y$62</f>
        <v>0</v>
      </c>
      <c r="K105" s="55">
        <f ca="1">EFEITO!$L$105*EFEITO!$Z$116</f>
        <v>22.691707891071889</v>
      </c>
      <c r="L105" s="55">
        <f>EFEITO!$N$105*EFEITO!$AA$116</f>
        <v>23.509963180530526</v>
      </c>
      <c r="M105" s="55">
        <f>$J$105-EFEITO!$K$105*EFEITO!$Y$105</f>
        <v>0</v>
      </c>
      <c r="N105" s="55">
        <f ca="1">$K$105-EFEITO!$M$105*EFEITO!$Z$105</f>
        <v>2.2691707891071857</v>
      </c>
      <c r="O105" s="55">
        <f>$L$105-EFEITO!$O$105*EFEITO!$AA$105</f>
        <v>2.3509963180530526</v>
      </c>
      <c r="P105" s="39"/>
      <c r="Q105" s="39"/>
      <c r="R105" s="39"/>
      <c r="S105" s="39"/>
      <c r="T105" s="39"/>
      <c r="U105" s="39"/>
      <c r="V105" s="39"/>
      <c r="W105" s="39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1.25" customHeight="1" x14ac:dyDescent="0.2">
      <c r="A106" s="35" t="s">
        <v>21</v>
      </c>
      <c r="B106" s="35" t="s">
        <v>22</v>
      </c>
      <c r="C106" s="35" t="s">
        <v>23</v>
      </c>
      <c r="D106" s="35" t="s">
        <v>24</v>
      </c>
      <c r="E106" s="35" t="s">
        <v>29</v>
      </c>
      <c r="F106" s="35" t="s">
        <v>25</v>
      </c>
      <c r="G106" s="35" t="s">
        <v>25</v>
      </c>
      <c r="H106" s="35" t="s">
        <v>25</v>
      </c>
      <c r="I106" s="54">
        <v>44501</v>
      </c>
      <c r="J106" s="55">
        <f>EFEITO!$J$106*EFEITO!$Y$62</f>
        <v>0</v>
      </c>
      <c r="K106" s="55">
        <f ca="1">EFEITO!$L$106*EFEITO!$Z$116</f>
        <v>46.025633930004304</v>
      </c>
      <c r="L106" s="55">
        <f>EFEITO!$N$106*EFEITO!$AA$116</f>
        <v>47.685302677491165</v>
      </c>
      <c r="M106" s="55">
        <f>$J$106-EFEITO!$K$106*EFEITO!$Y$106</f>
        <v>0</v>
      </c>
      <c r="N106" s="55">
        <f ca="1">$K$106-EFEITO!$M$106*EFEITO!$Z$106</f>
        <v>4.6025633930004233</v>
      </c>
      <c r="O106" s="55">
        <f>$L$106-EFEITO!$O$106*EFEITO!$AA$106</f>
        <v>4.7685302677491137</v>
      </c>
      <c r="P106" s="39"/>
      <c r="Q106" s="39"/>
      <c r="R106" s="39"/>
      <c r="S106" s="39"/>
      <c r="T106" s="39"/>
      <c r="U106" s="39"/>
      <c r="V106" s="39"/>
      <c r="W106" s="39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1.25" customHeight="1" x14ac:dyDescent="0.2">
      <c r="A107" s="35" t="s">
        <v>21</v>
      </c>
      <c r="B107" s="35" t="s">
        <v>22</v>
      </c>
      <c r="C107" s="35" t="s">
        <v>23</v>
      </c>
      <c r="D107" s="35" t="s">
        <v>24</v>
      </c>
      <c r="E107" s="35" t="s">
        <v>29</v>
      </c>
      <c r="F107" s="35" t="s">
        <v>25</v>
      </c>
      <c r="G107" s="35" t="s">
        <v>25</v>
      </c>
      <c r="H107" s="35" t="s">
        <v>25</v>
      </c>
      <c r="I107" s="54">
        <v>44531</v>
      </c>
      <c r="J107" s="55">
        <f>EFEITO!$J$107*EFEITO!$Y$62</f>
        <v>0</v>
      </c>
      <c r="K107" s="55">
        <f ca="1">EFEITO!$L$107*EFEITO!$Z$116</f>
        <v>46.025633930004304</v>
      </c>
      <c r="L107" s="55">
        <f>EFEITO!$N$107*EFEITO!$AA$116</f>
        <v>47.685302677491165</v>
      </c>
      <c r="M107" s="55">
        <f>$J$107-EFEITO!$K$107*EFEITO!$Y$107</f>
        <v>0</v>
      </c>
      <c r="N107" s="55">
        <f ca="1">$K$107-EFEITO!$M$107*EFEITO!$Z$107</f>
        <v>4.6025633930004233</v>
      </c>
      <c r="O107" s="55">
        <f>$L$107-EFEITO!$O$107*EFEITO!$AA$107</f>
        <v>4.7685302677491137</v>
      </c>
      <c r="P107" s="39"/>
      <c r="Q107" s="39"/>
      <c r="R107" s="39"/>
      <c r="S107" s="39"/>
      <c r="T107" s="39"/>
      <c r="U107" s="39"/>
      <c r="V107" s="39"/>
      <c r="W107" s="39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1.25" customHeight="1" x14ac:dyDescent="0.2">
      <c r="A108" s="35" t="s">
        <v>21</v>
      </c>
      <c r="B108" s="35" t="s">
        <v>22</v>
      </c>
      <c r="C108" s="35" t="s">
        <v>23</v>
      </c>
      <c r="D108" s="35" t="s">
        <v>24</v>
      </c>
      <c r="E108" s="35" t="s">
        <v>29</v>
      </c>
      <c r="F108" s="35" t="s">
        <v>25</v>
      </c>
      <c r="G108" s="35" t="s">
        <v>25</v>
      </c>
      <c r="H108" s="35" t="s">
        <v>25</v>
      </c>
      <c r="I108" s="54">
        <v>44562</v>
      </c>
      <c r="J108" s="55">
        <f>EFEITO!$J$108*EFEITO!$Y$62</f>
        <v>0</v>
      </c>
      <c r="K108" s="55">
        <f ca="1">EFEITO!$L$108*EFEITO!$Z$116</f>
        <v>63.7936693541455</v>
      </c>
      <c r="L108" s="55">
        <f>EFEITO!$N$108*EFEITO!$AA$116</f>
        <v>66.094047432057522</v>
      </c>
      <c r="M108" s="55">
        <f>$J$108-EFEITO!$K$108*EFEITO!$Y$108</f>
        <v>0</v>
      </c>
      <c r="N108" s="55">
        <f ca="1">$K$108-EFEITO!$M$108*EFEITO!$Z$108</f>
        <v>6.379366935414545</v>
      </c>
      <c r="O108" s="55">
        <f>$L$108-EFEITO!$O$108*EFEITO!$AA$108</f>
        <v>6.6094047432057508</v>
      </c>
      <c r="P108" s="39"/>
      <c r="Q108" s="39"/>
      <c r="R108" s="39"/>
      <c r="S108" s="39"/>
      <c r="T108" s="39"/>
      <c r="U108" s="39"/>
      <c r="V108" s="39"/>
      <c r="W108" s="39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1.25" customHeight="1" x14ac:dyDescent="0.2">
      <c r="A109" s="35" t="s">
        <v>21</v>
      </c>
      <c r="B109" s="35" t="s">
        <v>22</v>
      </c>
      <c r="C109" s="35" t="s">
        <v>23</v>
      </c>
      <c r="D109" s="35" t="s">
        <v>24</v>
      </c>
      <c r="E109" s="35" t="s">
        <v>29</v>
      </c>
      <c r="F109" s="35" t="s">
        <v>25</v>
      </c>
      <c r="G109" s="35" t="s">
        <v>25</v>
      </c>
      <c r="H109" s="35" t="s">
        <v>25</v>
      </c>
      <c r="I109" s="54">
        <v>44593</v>
      </c>
      <c r="J109" s="55">
        <f>EFEITO!$J$109*EFEITO!$Y$62</f>
        <v>0</v>
      </c>
      <c r="K109" s="55">
        <f ca="1">EFEITO!$L$109*EFEITO!$Z$116</f>
        <v>120.95108451373224</v>
      </c>
      <c r="L109" s="55">
        <f>EFEITO!$N$109*EFEITO!$AA$116</f>
        <v>125.31253959433724</v>
      </c>
      <c r="M109" s="55">
        <f>$J$109-EFEITO!$K$109*EFEITO!$Y$109</f>
        <v>0</v>
      </c>
      <c r="N109" s="55">
        <f ca="1">$K$109-EFEITO!$M$109*EFEITO!$Z$109</f>
        <v>12.095108451373221</v>
      </c>
      <c r="O109" s="55">
        <f>$L$109-EFEITO!$O$109*EFEITO!$AA$109</f>
        <v>12.531253959433727</v>
      </c>
      <c r="P109" s="39"/>
      <c r="Q109" s="39"/>
      <c r="R109" s="39"/>
      <c r="S109" s="39"/>
      <c r="T109" s="39"/>
      <c r="U109" s="39"/>
      <c r="V109" s="39"/>
      <c r="W109" s="39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1.25" customHeight="1" x14ac:dyDescent="0.2">
      <c r="A110" s="35" t="s">
        <v>21</v>
      </c>
      <c r="B110" s="35" t="s">
        <v>22</v>
      </c>
      <c r="C110" s="35" t="s">
        <v>23</v>
      </c>
      <c r="D110" s="35" t="s">
        <v>24</v>
      </c>
      <c r="E110" s="35" t="s">
        <v>29</v>
      </c>
      <c r="F110" s="35" t="s">
        <v>25</v>
      </c>
      <c r="G110" s="35" t="s">
        <v>25</v>
      </c>
      <c r="H110" s="35" t="s">
        <v>25</v>
      </c>
      <c r="I110" s="54">
        <v>44621</v>
      </c>
      <c r="J110" s="55">
        <f>EFEITO!$J$110*EFEITO!$Y$62</f>
        <v>0</v>
      </c>
      <c r="K110" s="55">
        <f ca="1">EFEITO!$L$110*EFEITO!$Z$116</f>
        <v>166.12042757992253</v>
      </c>
      <c r="L110" s="55">
        <f>EFEITO!$N$110*EFEITO!$AA$116</f>
        <v>172.1106738499216</v>
      </c>
      <c r="M110" s="55">
        <f>$J$110-EFEITO!$K$110*EFEITO!$Y$110</f>
        <v>0</v>
      </c>
      <c r="N110" s="55">
        <f ca="1">$K$110-EFEITO!$M$110*EFEITO!$Z$110</f>
        <v>16.612042757992242</v>
      </c>
      <c r="O110" s="55">
        <f>$L$110-EFEITO!$O$110*EFEITO!$AA$110</f>
        <v>17.211067384992134</v>
      </c>
      <c r="P110" s="39"/>
      <c r="Q110" s="39"/>
      <c r="R110" s="39"/>
      <c r="S110" s="39"/>
      <c r="T110" s="39"/>
      <c r="U110" s="39"/>
      <c r="V110" s="39"/>
      <c r="W110" s="39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1.25" customHeight="1" x14ac:dyDescent="0.2">
      <c r="A111" s="35" t="s">
        <v>21</v>
      </c>
      <c r="B111" s="35" t="s">
        <v>22</v>
      </c>
      <c r="C111" s="35" t="s">
        <v>23</v>
      </c>
      <c r="D111" s="35" t="s">
        <v>24</v>
      </c>
      <c r="E111" s="35" t="s">
        <v>29</v>
      </c>
      <c r="F111" s="35" t="s">
        <v>25</v>
      </c>
      <c r="G111" s="35" t="s">
        <v>25</v>
      </c>
      <c r="H111" s="35" t="s">
        <v>25</v>
      </c>
      <c r="I111" s="54">
        <v>44652</v>
      </c>
      <c r="J111" s="55">
        <f>EFEITO!$J$111*EFEITO!$Y$62</f>
        <v>0</v>
      </c>
      <c r="K111" s="55">
        <f ca="1">EFEITO!$L$111*EFEITO!$Z$116</f>
        <v>142.57242882503661</v>
      </c>
      <c r="L111" s="55">
        <f>EFEITO!$N$111*EFEITO!$AA$116</f>
        <v>147.71354224748427</v>
      </c>
      <c r="M111" s="55">
        <f>$J$111-EFEITO!$K$111*EFEITO!$Y$111</f>
        <v>0</v>
      </c>
      <c r="N111" s="55">
        <f ca="1">$K$111-EFEITO!$M$111*EFEITO!$Z$111</f>
        <v>14.257242882503647</v>
      </c>
      <c r="O111" s="55">
        <f>$L$111-EFEITO!$O$111*EFEITO!$AA$111</f>
        <v>14.771354224748421</v>
      </c>
      <c r="P111" s="39"/>
      <c r="Q111" s="39"/>
      <c r="R111" s="39"/>
      <c r="S111" s="39"/>
      <c r="T111" s="39"/>
      <c r="U111" s="39"/>
      <c r="V111" s="39"/>
      <c r="W111" s="39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1.25" customHeight="1" x14ac:dyDescent="0.2">
      <c r="A112" s="35" t="s">
        <v>21</v>
      </c>
      <c r="B112" s="35" t="s">
        <v>22</v>
      </c>
      <c r="C112" s="35" t="s">
        <v>23</v>
      </c>
      <c r="D112" s="35" t="s">
        <v>24</v>
      </c>
      <c r="E112" s="35" t="s">
        <v>29</v>
      </c>
      <c r="F112" s="35" t="s">
        <v>25</v>
      </c>
      <c r="G112" s="35" t="s">
        <v>25</v>
      </c>
      <c r="H112" s="35" t="s">
        <v>25</v>
      </c>
      <c r="I112" s="54">
        <v>44682</v>
      </c>
      <c r="J112" s="55">
        <f>EFEITO!$J$112*EFEITO!$Y$62</f>
        <v>0</v>
      </c>
      <c r="K112" s="55">
        <f ca="1">EFEITO!$L$112*EFEITO!$Z$116</f>
        <v>152.20570104294447</v>
      </c>
      <c r="L112" s="55">
        <f>EFEITO!$N$112*EFEITO!$AA$116</f>
        <v>157.69418699393589</v>
      </c>
      <c r="M112" s="55">
        <f>$J$112-EFEITO!$K$112*EFEITO!$Y$112</f>
        <v>0</v>
      </c>
      <c r="N112" s="55">
        <f ca="1">$K$112-EFEITO!$M$112*EFEITO!$Z$112</f>
        <v>15.220570104294438</v>
      </c>
      <c r="O112" s="55">
        <f>$L$112-EFEITO!$O$112*EFEITO!$AA$112</f>
        <v>15.769418699393583</v>
      </c>
      <c r="P112" s="39"/>
      <c r="Q112" s="39"/>
      <c r="R112" s="39"/>
      <c r="S112" s="39"/>
      <c r="T112" s="39"/>
      <c r="U112" s="39"/>
      <c r="V112" s="39"/>
      <c r="W112" s="39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1.25" customHeight="1" x14ac:dyDescent="0.2">
      <c r="A113" s="35" t="s">
        <v>21</v>
      </c>
      <c r="B113" s="35" t="s">
        <v>22</v>
      </c>
      <c r="C113" s="35" t="s">
        <v>23</v>
      </c>
      <c r="D113" s="35" t="s">
        <v>24</v>
      </c>
      <c r="E113" s="35" t="s">
        <v>29</v>
      </c>
      <c r="F113" s="35" t="s">
        <v>25</v>
      </c>
      <c r="G113" s="35" t="s">
        <v>25</v>
      </c>
      <c r="H113" s="35" t="s">
        <v>25</v>
      </c>
      <c r="I113" s="54">
        <v>44713</v>
      </c>
      <c r="J113" s="55">
        <f>EFEITO!$J$113*EFEITO!$Y$62</f>
        <v>0</v>
      </c>
      <c r="K113" s="55">
        <f ca="1">EFEITO!$L$113*EFEITO!$Z$116</f>
        <v>148.99461030364185</v>
      </c>
      <c r="L113" s="55">
        <f>EFEITO!$N$113*EFEITO!$AA$116</f>
        <v>154.36730541178534</v>
      </c>
      <c r="M113" s="55">
        <f>$J$113-EFEITO!$K$113*EFEITO!$Y$113</f>
        <v>0</v>
      </c>
      <c r="N113" s="55">
        <f ca="1">$K$113-EFEITO!$M$113*EFEITO!$Z$113</f>
        <v>14.899461030364193</v>
      </c>
      <c r="O113" s="55">
        <f>$L$113-EFEITO!$O$113*EFEITO!$AA$113</f>
        <v>15.43673054117852</v>
      </c>
      <c r="P113" s="39"/>
      <c r="Q113" s="39"/>
      <c r="R113" s="39"/>
      <c r="S113" s="39"/>
      <c r="T113" s="39"/>
      <c r="U113" s="39"/>
      <c r="V113" s="39"/>
      <c r="W113" s="39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1.25" customHeight="1" x14ac:dyDescent="0.2">
      <c r="A114" s="35" t="s">
        <v>21</v>
      </c>
      <c r="B114" s="35" t="s">
        <v>22</v>
      </c>
      <c r="C114" s="35" t="s">
        <v>23</v>
      </c>
      <c r="D114" s="35" t="s">
        <v>24</v>
      </c>
      <c r="E114" s="35" t="s">
        <v>29</v>
      </c>
      <c r="F114" s="35" t="s">
        <v>25</v>
      </c>
      <c r="G114" s="35" t="s">
        <v>25</v>
      </c>
      <c r="H114" s="35" t="s">
        <v>25</v>
      </c>
      <c r="I114" s="54">
        <v>44743</v>
      </c>
      <c r="J114" s="55">
        <f>EFEITO!$J$114*EFEITO!$Y$62</f>
        <v>0</v>
      </c>
      <c r="K114" s="55">
        <f ca="1">EFEITO!$L$114*EFEITO!$Z$116</f>
        <v>149.85090116745587</v>
      </c>
      <c r="L114" s="55">
        <f>EFEITO!$N$114*EFEITO!$AA$116</f>
        <v>155.25447383369215</v>
      </c>
      <c r="M114" s="55">
        <f>$J$114-EFEITO!$K$114*EFEITO!$Y$114</f>
        <v>0</v>
      </c>
      <c r="N114" s="55">
        <f ca="1">$K$114-EFEITO!$M$114*EFEITO!$Z$114</f>
        <v>14.985090116745596</v>
      </c>
      <c r="O114" s="55">
        <f>$L$114-EFEITO!$O$114*EFEITO!$AA$114</f>
        <v>15.525447383369197</v>
      </c>
      <c r="P114" s="39"/>
      <c r="Q114" s="39"/>
      <c r="R114" s="39"/>
      <c r="S114" s="39"/>
      <c r="T114" s="39"/>
      <c r="U114" s="39"/>
      <c r="V114" s="39"/>
      <c r="W114" s="39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1.25" customHeight="1" x14ac:dyDescent="0.2">
      <c r="A115" s="35" t="s">
        <v>21</v>
      </c>
      <c r="B115" s="35" t="s">
        <v>22</v>
      </c>
      <c r="C115" s="35" t="s">
        <v>23</v>
      </c>
      <c r="D115" s="35" t="s">
        <v>24</v>
      </c>
      <c r="E115" s="35" t="s">
        <v>29</v>
      </c>
      <c r="F115" s="35" t="s">
        <v>25</v>
      </c>
      <c r="G115" s="35" t="s">
        <v>25</v>
      </c>
      <c r="H115" s="35" t="s">
        <v>25</v>
      </c>
      <c r="I115" s="54">
        <v>44774</v>
      </c>
      <c r="J115" s="55">
        <f>EFEITO!$J$115*EFEITO!$Y$62</f>
        <v>0</v>
      </c>
      <c r="K115" s="55">
        <f ca="1">EFEITO!$L$115*EFEITO!$Z$116</f>
        <v>155.20271906629358</v>
      </c>
      <c r="L115" s="55">
        <f>EFEITO!$N$115*EFEITO!$AA$116</f>
        <v>160.79927647060973</v>
      </c>
      <c r="M115" s="55">
        <f>$J$115-EFEITO!$K$115*EFEITO!$Y$115</f>
        <v>0</v>
      </c>
      <c r="N115" s="55">
        <f ca="1">$K$115-EFEITO!$M$115*EFEITO!$Z$115</f>
        <v>15.520271906629347</v>
      </c>
      <c r="O115" s="55">
        <f>$L$115-EFEITO!$O$115*EFEITO!$AA$115</f>
        <v>16.07992764706097</v>
      </c>
      <c r="P115" s="39"/>
      <c r="Q115" s="39"/>
      <c r="R115" s="39"/>
      <c r="S115" s="39"/>
      <c r="T115" s="39"/>
      <c r="U115" s="39"/>
      <c r="V115" s="39"/>
      <c r="W115" s="39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1.25" customHeight="1" x14ac:dyDescent="0.2">
      <c r="A116" s="35" t="s">
        <v>21</v>
      </c>
      <c r="B116" s="35" t="s">
        <v>22</v>
      </c>
      <c r="C116" s="35" t="s">
        <v>23</v>
      </c>
      <c r="D116" s="35" t="s">
        <v>24</v>
      </c>
      <c r="E116" s="35" t="s">
        <v>30</v>
      </c>
      <c r="F116" s="35" t="s">
        <v>25</v>
      </c>
      <c r="G116" s="35" t="s">
        <v>25</v>
      </c>
      <c r="H116" s="35" t="s">
        <v>25</v>
      </c>
      <c r="I116" s="54">
        <v>44440</v>
      </c>
      <c r="J116" s="55">
        <f>EFEITO!$J$116*EFEITO!$Y$62</f>
        <v>0</v>
      </c>
      <c r="K116" s="55">
        <f ca="1">EFEITO!$L$116*EFEITO!$Z$116</f>
        <v>1.2844362957210504</v>
      </c>
      <c r="L116" s="55">
        <f>EFEITO!$N$116*EFEITO!$AA$116</f>
        <v>1.3307526328602186</v>
      </c>
      <c r="M116" s="55">
        <f>$J$116-EFEITO!$K$116*EFEITO!$Y$116</f>
        <v>0</v>
      </c>
      <c r="N116" s="55">
        <f ca="1">$K$116-EFEITO!$M$116*EFEITO!$Z$116</f>
        <v>0</v>
      </c>
      <c r="O116" s="55">
        <f>$L$116-EFEITO!$O$116*EFEITO!$AA$116</f>
        <v>0</v>
      </c>
      <c r="P116" s="39"/>
      <c r="Q116" s="39"/>
      <c r="R116" s="39"/>
      <c r="S116" s="39"/>
      <c r="T116" s="39"/>
      <c r="U116" s="39"/>
      <c r="V116" s="39"/>
      <c r="W116" s="39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1.25" customHeight="1" x14ac:dyDescent="0.2">
      <c r="A117" s="35" t="s">
        <v>21</v>
      </c>
      <c r="B117" s="35" t="s">
        <v>22</v>
      </c>
      <c r="C117" s="35" t="s">
        <v>23</v>
      </c>
      <c r="D117" s="35" t="s">
        <v>24</v>
      </c>
      <c r="E117" s="35" t="s">
        <v>30</v>
      </c>
      <c r="F117" s="35" t="s">
        <v>25</v>
      </c>
      <c r="G117" s="35" t="s">
        <v>25</v>
      </c>
      <c r="H117" s="35" t="s">
        <v>25</v>
      </c>
      <c r="I117" s="54">
        <v>44531</v>
      </c>
      <c r="J117" s="55">
        <f>EFEITO!$J$117*EFEITO!$Y$62</f>
        <v>0</v>
      </c>
      <c r="K117" s="55">
        <f ca="1">EFEITO!$L$117*EFEITO!$Z$116</f>
        <v>2.7829453073956092</v>
      </c>
      <c r="L117" s="55">
        <f>EFEITO!$N$117*EFEITO!$AA$116</f>
        <v>2.8832973711971399</v>
      </c>
      <c r="M117" s="55">
        <f>$J$117-EFEITO!$K$117*EFEITO!$Y$117</f>
        <v>0</v>
      </c>
      <c r="N117" s="55">
        <f ca="1">$K$117-EFEITO!$M$117*EFEITO!$Z$117</f>
        <v>0</v>
      </c>
      <c r="O117" s="55">
        <f>$L$117-EFEITO!$O$117*EFEITO!$AA$117</f>
        <v>0</v>
      </c>
      <c r="P117" s="39"/>
      <c r="Q117" s="39"/>
      <c r="R117" s="39"/>
      <c r="S117" s="39"/>
      <c r="T117" s="39"/>
      <c r="U117" s="39"/>
      <c r="V117" s="39"/>
      <c r="W117" s="39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1.25" customHeight="1" x14ac:dyDescent="0.2">
      <c r="A118" s="35" t="s">
        <v>21</v>
      </c>
      <c r="B118" s="35" t="s">
        <v>22</v>
      </c>
      <c r="C118" s="35" t="s">
        <v>23</v>
      </c>
      <c r="D118" s="35" t="s">
        <v>24</v>
      </c>
      <c r="E118" s="35" t="s">
        <v>30</v>
      </c>
      <c r="F118" s="35" t="s">
        <v>25</v>
      </c>
      <c r="G118" s="35" t="s">
        <v>25</v>
      </c>
      <c r="H118" s="35" t="s">
        <v>25</v>
      </c>
      <c r="I118" s="54">
        <v>44562</v>
      </c>
      <c r="J118" s="55">
        <f>EFEITO!$J$118*EFEITO!$Y$62</f>
        <v>0</v>
      </c>
      <c r="K118" s="55">
        <f ca="1">EFEITO!$L$118*EFEITO!$Z$116</f>
        <v>11.988072093396472</v>
      </c>
      <c r="L118" s="55">
        <f>EFEITO!$N$118*EFEITO!$AA$116</f>
        <v>12.420357906695372</v>
      </c>
      <c r="M118" s="55">
        <f>$J$118-EFEITO!$K$118*EFEITO!$Y$118</f>
        <v>0</v>
      </c>
      <c r="N118" s="55">
        <f ca="1">$K$118-EFEITO!$M$118*EFEITO!$Z$118</f>
        <v>0</v>
      </c>
      <c r="O118" s="55">
        <f>$L$118-EFEITO!$O$118*EFEITO!$AA$118</f>
        <v>0</v>
      </c>
      <c r="P118" s="39"/>
      <c r="Q118" s="39"/>
      <c r="R118" s="39"/>
      <c r="S118" s="39"/>
      <c r="T118" s="39"/>
      <c r="U118" s="39"/>
      <c r="V118" s="39"/>
      <c r="W118" s="39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1.25" customHeight="1" x14ac:dyDescent="0.2">
      <c r="A119" s="35" t="s">
        <v>21</v>
      </c>
      <c r="B119" s="35" t="s">
        <v>22</v>
      </c>
      <c r="C119" s="35" t="s">
        <v>23</v>
      </c>
      <c r="D119" s="35" t="s">
        <v>24</v>
      </c>
      <c r="E119" s="35" t="s">
        <v>30</v>
      </c>
      <c r="F119" s="35" t="s">
        <v>25</v>
      </c>
      <c r="G119" s="35" t="s">
        <v>25</v>
      </c>
      <c r="H119" s="35" t="s">
        <v>25</v>
      </c>
      <c r="I119" s="54">
        <v>44593</v>
      </c>
      <c r="J119" s="55">
        <f>EFEITO!$J$119*EFEITO!$Y$62</f>
        <v>0</v>
      </c>
      <c r="K119" s="55">
        <f ca="1">EFEITO!$L$119*EFEITO!$Z$116</f>
        <v>53.304106272423596</v>
      </c>
      <c r="L119" s="55">
        <f>EFEITO!$N$119*EFEITO!$AA$116</f>
        <v>55.22623426369907</v>
      </c>
      <c r="M119" s="55">
        <f>$J$119-EFEITO!$K$119*EFEITO!$Y$119</f>
        <v>0</v>
      </c>
      <c r="N119" s="55">
        <f ca="1">$K$119-EFEITO!$M$119*EFEITO!$Z$119</f>
        <v>0</v>
      </c>
      <c r="O119" s="55">
        <f>$L$119-EFEITO!$O$119*EFEITO!$AA$119</f>
        <v>0</v>
      </c>
      <c r="P119" s="39"/>
      <c r="Q119" s="39"/>
      <c r="R119" s="39"/>
      <c r="S119" s="39"/>
      <c r="T119" s="39"/>
      <c r="U119" s="39"/>
      <c r="V119" s="39"/>
      <c r="W119" s="39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1.25" customHeight="1" x14ac:dyDescent="0.2">
      <c r="A120" s="35" t="s">
        <v>21</v>
      </c>
      <c r="B120" s="35" t="s">
        <v>22</v>
      </c>
      <c r="C120" s="35" t="s">
        <v>23</v>
      </c>
      <c r="D120" s="35" t="s">
        <v>24</v>
      </c>
      <c r="E120" s="35" t="s">
        <v>30</v>
      </c>
      <c r="F120" s="35" t="s">
        <v>25</v>
      </c>
      <c r="G120" s="35" t="s">
        <v>25</v>
      </c>
      <c r="H120" s="35" t="s">
        <v>25</v>
      </c>
      <c r="I120" s="54">
        <v>44621</v>
      </c>
      <c r="J120" s="55">
        <f>EFEITO!$J$120*EFEITO!$Y$62</f>
        <v>0</v>
      </c>
      <c r="K120" s="55">
        <f ca="1">EFEITO!$L$120*EFEITO!$Z$116</f>
        <v>38.104943439724494</v>
      </c>
      <c r="L120" s="55">
        <f>EFEITO!$N$120*EFEITO!$AA$116</f>
        <v>39.478994774853149</v>
      </c>
      <c r="M120" s="55">
        <f>$J$120-EFEITO!$K$120*EFEITO!$Y$120</f>
        <v>0</v>
      </c>
      <c r="N120" s="55">
        <f ca="1">$K$120-EFEITO!$M$120*EFEITO!$Z$120</f>
        <v>0</v>
      </c>
      <c r="O120" s="55">
        <f>$L$120-EFEITO!$O$120*EFEITO!$AA$120</f>
        <v>0</v>
      </c>
      <c r="P120" s="39"/>
      <c r="Q120" s="39"/>
      <c r="R120" s="39"/>
      <c r="S120" s="39"/>
      <c r="T120" s="39"/>
      <c r="U120" s="39"/>
      <c r="V120" s="39"/>
      <c r="W120" s="39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1.25" customHeight="1" x14ac:dyDescent="0.2">
      <c r="A121" s="35" t="s">
        <v>21</v>
      </c>
      <c r="B121" s="35" t="s">
        <v>22</v>
      </c>
      <c r="C121" s="35" t="s">
        <v>23</v>
      </c>
      <c r="D121" s="35" t="s">
        <v>24</v>
      </c>
      <c r="E121" s="35" t="s">
        <v>30</v>
      </c>
      <c r="F121" s="35" t="s">
        <v>25</v>
      </c>
      <c r="G121" s="35" t="s">
        <v>25</v>
      </c>
      <c r="H121" s="35" t="s">
        <v>25</v>
      </c>
      <c r="I121" s="54">
        <v>44652</v>
      </c>
      <c r="J121" s="55">
        <f>EFEITO!$J$121*EFEITO!$Y$62</f>
        <v>0</v>
      </c>
      <c r="K121" s="55">
        <f ca="1">EFEITO!$L$121*EFEITO!$Z$116</f>
        <v>29.756107517537671</v>
      </c>
      <c r="L121" s="55">
        <f>EFEITO!$N$121*EFEITO!$AA$116</f>
        <v>30.829102661261732</v>
      </c>
      <c r="M121" s="55">
        <f>$J$121-EFEITO!$K$121*EFEITO!$Y$121</f>
        <v>0</v>
      </c>
      <c r="N121" s="55">
        <f ca="1">$K$121-EFEITO!$M$121*EFEITO!$Z$121</f>
        <v>0</v>
      </c>
      <c r="O121" s="55">
        <f>$L$121-EFEITO!$O$121*EFEITO!$AA$121</f>
        <v>0</v>
      </c>
      <c r="P121" s="39"/>
      <c r="Q121" s="39"/>
      <c r="R121" s="39"/>
      <c r="S121" s="39"/>
      <c r="T121" s="39"/>
      <c r="U121" s="39"/>
      <c r="V121" s="39"/>
      <c r="W121" s="39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1.25" customHeight="1" x14ac:dyDescent="0.2">
      <c r="A122" s="35" t="s">
        <v>21</v>
      </c>
      <c r="B122" s="35" t="s">
        <v>22</v>
      </c>
      <c r="C122" s="35" t="s">
        <v>23</v>
      </c>
      <c r="D122" s="35" t="s">
        <v>24</v>
      </c>
      <c r="E122" s="35" t="s">
        <v>30</v>
      </c>
      <c r="F122" s="35" t="s">
        <v>25</v>
      </c>
      <c r="G122" s="35" t="s">
        <v>25</v>
      </c>
      <c r="H122" s="35" t="s">
        <v>25</v>
      </c>
      <c r="I122" s="54">
        <v>44682</v>
      </c>
      <c r="J122" s="55">
        <f>EFEITO!$J$122*EFEITO!$Y$62</f>
        <v>0</v>
      </c>
      <c r="K122" s="55">
        <f ca="1">EFEITO!$L$122*EFEITO!$Z$116</f>
        <v>43.242688622608703</v>
      </c>
      <c r="L122" s="55">
        <f>EFEITO!$N$122*EFEITO!$AA$116</f>
        <v>44.802005306294028</v>
      </c>
      <c r="M122" s="55">
        <f>$J$122-EFEITO!$K$122*EFEITO!$Y$122</f>
        <v>0</v>
      </c>
      <c r="N122" s="55">
        <f ca="1">$K$122-EFEITO!$M$122*EFEITO!$Z$122</f>
        <v>0</v>
      </c>
      <c r="O122" s="55">
        <f>$L$122-EFEITO!$O$122*EFEITO!$AA$122</f>
        <v>0</v>
      </c>
      <c r="P122" s="39"/>
      <c r="Q122" s="39"/>
      <c r="R122" s="39"/>
      <c r="S122" s="39"/>
      <c r="T122" s="39"/>
      <c r="U122" s="39"/>
      <c r="V122" s="39"/>
      <c r="W122" s="39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1.25" customHeight="1" x14ac:dyDescent="0.2">
      <c r="A123" s="35" t="s">
        <v>21</v>
      </c>
      <c r="B123" s="35" t="s">
        <v>22</v>
      </c>
      <c r="C123" s="35" t="s">
        <v>23</v>
      </c>
      <c r="D123" s="35" t="s">
        <v>24</v>
      </c>
      <c r="E123" s="35" t="s">
        <v>30</v>
      </c>
      <c r="F123" s="35" t="s">
        <v>25</v>
      </c>
      <c r="G123" s="35" t="s">
        <v>25</v>
      </c>
      <c r="H123" s="35" t="s">
        <v>25</v>
      </c>
      <c r="I123" s="54">
        <v>44713</v>
      </c>
      <c r="J123" s="55">
        <f>EFEITO!$J$123*EFEITO!$Y$62</f>
        <v>0</v>
      </c>
      <c r="K123" s="55">
        <f ca="1">EFEITO!$L$123*EFEITO!$Z$116</f>
        <v>132.72508389117522</v>
      </c>
      <c r="L123" s="55">
        <f>EFEITO!$N$123*EFEITO!$AA$116</f>
        <v>137.51110539555592</v>
      </c>
      <c r="M123" s="55">
        <f>$J$123-EFEITO!$K$123*EFEITO!$Y$123</f>
        <v>0</v>
      </c>
      <c r="N123" s="55">
        <f ca="1">$K$123-EFEITO!$M$123*EFEITO!$Z$123</f>
        <v>0</v>
      </c>
      <c r="O123" s="55">
        <f>$L$123-EFEITO!$O$123*EFEITO!$AA$123</f>
        <v>0</v>
      </c>
      <c r="P123" s="39"/>
      <c r="Q123" s="39"/>
      <c r="R123" s="39"/>
      <c r="S123" s="39"/>
      <c r="T123" s="39"/>
      <c r="U123" s="39"/>
      <c r="V123" s="39"/>
      <c r="W123" s="39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1.25" customHeight="1" x14ac:dyDescent="0.2">
      <c r="A124" s="35" t="s">
        <v>21</v>
      </c>
      <c r="B124" s="35" t="s">
        <v>22</v>
      </c>
      <c r="C124" s="35" t="s">
        <v>23</v>
      </c>
      <c r="D124" s="35" t="s">
        <v>24</v>
      </c>
      <c r="E124" s="35" t="s">
        <v>30</v>
      </c>
      <c r="F124" s="35" t="s">
        <v>25</v>
      </c>
      <c r="G124" s="35" t="s">
        <v>25</v>
      </c>
      <c r="H124" s="35" t="s">
        <v>25</v>
      </c>
      <c r="I124" s="54">
        <v>44743</v>
      </c>
      <c r="J124" s="55">
        <f>EFEITO!$J$124*EFEITO!$Y$62</f>
        <v>0</v>
      </c>
      <c r="K124" s="55">
        <f ca="1">EFEITO!$L$124*EFEITO!$Z$116</f>
        <v>44.955270350236766</v>
      </c>
      <c r="L124" s="55">
        <f>EFEITO!$N$124*EFEITO!$AA$116</f>
        <v>46.576342150107649</v>
      </c>
      <c r="M124" s="55">
        <f>$J$124-EFEITO!$K$124*EFEITO!$Y$124</f>
        <v>0</v>
      </c>
      <c r="N124" s="55">
        <f ca="1">$K$124-EFEITO!$M$124*EFEITO!$Z$124</f>
        <v>0</v>
      </c>
      <c r="O124" s="55">
        <f>$L$124-EFEITO!$O$124*EFEITO!$AA$124</f>
        <v>0</v>
      </c>
      <c r="P124" s="39"/>
      <c r="Q124" s="39"/>
      <c r="R124" s="39"/>
      <c r="S124" s="39"/>
      <c r="T124" s="39"/>
      <c r="U124" s="39"/>
      <c r="V124" s="39"/>
      <c r="W124" s="39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1.25" customHeight="1" x14ac:dyDescent="0.2">
      <c r="A125" s="35" t="s">
        <v>21</v>
      </c>
      <c r="B125" s="35" t="s">
        <v>22</v>
      </c>
      <c r="C125" s="35" t="s">
        <v>23</v>
      </c>
      <c r="D125" s="35" t="s">
        <v>24</v>
      </c>
      <c r="E125" s="35" t="s">
        <v>30</v>
      </c>
      <c r="F125" s="35" t="s">
        <v>25</v>
      </c>
      <c r="G125" s="35" t="s">
        <v>25</v>
      </c>
      <c r="H125" s="35" t="s">
        <v>25</v>
      </c>
      <c r="I125" s="54">
        <v>44774</v>
      </c>
      <c r="J125" s="55">
        <f>EFEITO!$J$125*EFEITO!$Y$62</f>
        <v>0</v>
      </c>
      <c r="K125" s="55">
        <f ca="1">EFEITO!$L$125*EFEITO!$Z$116</f>
        <v>91.194976996194583</v>
      </c>
      <c r="L125" s="55">
        <f>EFEITO!$N$125*EFEITO!$AA$116</f>
        <v>94.48343693307551</v>
      </c>
      <c r="M125" s="55">
        <f>$J$125-EFEITO!$K$125*EFEITO!$Y$125</f>
        <v>0</v>
      </c>
      <c r="N125" s="55">
        <f ca="1">$K$125-EFEITO!$M$125*EFEITO!$Z$125</f>
        <v>0</v>
      </c>
      <c r="O125" s="55">
        <f>$L$125-EFEITO!$O$125*EFEITO!$AA$125</f>
        <v>0</v>
      </c>
      <c r="P125" s="39"/>
      <c r="Q125" s="39"/>
      <c r="R125" s="39"/>
      <c r="S125" s="39"/>
      <c r="T125" s="39"/>
      <c r="U125" s="39"/>
      <c r="V125" s="39"/>
      <c r="W125" s="39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1.25" customHeight="1" x14ac:dyDescent="0.2">
      <c r="A126" s="35" t="s">
        <v>21</v>
      </c>
      <c r="B126" s="35" t="s">
        <v>39</v>
      </c>
      <c r="C126" s="35" t="s">
        <v>23</v>
      </c>
      <c r="D126" s="35" t="s">
        <v>40</v>
      </c>
      <c r="E126" s="35" t="s">
        <v>48</v>
      </c>
      <c r="F126" s="35" t="s">
        <v>49</v>
      </c>
      <c r="G126" s="35" t="s">
        <v>25</v>
      </c>
      <c r="H126" s="35" t="s">
        <v>25</v>
      </c>
      <c r="I126" s="54">
        <v>44440</v>
      </c>
      <c r="J126" s="55">
        <f>EFEITO!$J$126*EFEITO!$Y$62</f>
        <v>0</v>
      </c>
      <c r="K126" s="55">
        <f ca="1">EFEITO!$L$126*EFEITO!$Z$62</f>
        <v>29.268592240777252</v>
      </c>
      <c r="L126" s="55">
        <f>EFEITO!$N$126*EFEITO!$AA$62</f>
        <v>20.848457914810091</v>
      </c>
      <c r="M126" s="55">
        <f>$J$126-EFEITO!$K$126*EFEITO!$Y$126</f>
        <v>0</v>
      </c>
      <c r="N126" s="55">
        <f ca="1">$K$126-EFEITO!$M$126*EFEITO!$Z$126</f>
        <v>1.7561155344466393</v>
      </c>
      <c r="O126" s="55">
        <f>$L$126-EFEITO!$O$126*EFEITO!$AA$126</f>
        <v>1.2509074748886064</v>
      </c>
      <c r="P126" s="39"/>
      <c r="Q126" s="39"/>
      <c r="R126" s="39"/>
      <c r="S126" s="39"/>
      <c r="T126" s="39"/>
      <c r="U126" s="39"/>
      <c r="V126" s="39"/>
      <c r="W126" s="39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1.25" customHeight="1" x14ac:dyDescent="0.2">
      <c r="A127" s="35" t="s">
        <v>21</v>
      </c>
      <c r="B127" s="35" t="s">
        <v>39</v>
      </c>
      <c r="C127" s="35" t="s">
        <v>23</v>
      </c>
      <c r="D127" s="35" t="s">
        <v>40</v>
      </c>
      <c r="E127" s="35" t="s">
        <v>48</v>
      </c>
      <c r="F127" s="35" t="s">
        <v>49</v>
      </c>
      <c r="G127" s="35" t="s">
        <v>25</v>
      </c>
      <c r="H127" s="35" t="s">
        <v>25</v>
      </c>
      <c r="I127" s="54">
        <v>44470</v>
      </c>
      <c r="J127" s="55">
        <f>EFEITO!$J$127*EFEITO!$Y$62</f>
        <v>0</v>
      </c>
      <c r="K127" s="55">
        <f ca="1">EFEITO!$L$127*EFEITO!$Z$62</f>
        <v>32.382272266391851</v>
      </c>
      <c r="L127" s="55">
        <f>EFEITO!$N$127*EFEITO!$AA$62</f>
        <v>23.066378969577119</v>
      </c>
      <c r="M127" s="55">
        <f>$J$127-EFEITO!$K$127*EFEITO!$Y$127</f>
        <v>0</v>
      </c>
      <c r="N127" s="55">
        <f ca="1">$K$127-EFEITO!$M$127*EFEITO!$Z$127</f>
        <v>1.9429363359835143</v>
      </c>
      <c r="O127" s="55">
        <f>$L$127-EFEITO!$O$127*EFEITO!$AA$127</f>
        <v>1.3839827381746268</v>
      </c>
      <c r="P127" s="39"/>
      <c r="Q127" s="39"/>
      <c r="R127" s="39"/>
      <c r="S127" s="39"/>
      <c r="T127" s="39"/>
      <c r="U127" s="39"/>
      <c r="V127" s="39"/>
      <c r="W127" s="39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1.25" customHeight="1" x14ac:dyDescent="0.2">
      <c r="A128" s="35" t="s">
        <v>21</v>
      </c>
      <c r="B128" s="35" t="s">
        <v>39</v>
      </c>
      <c r="C128" s="35" t="s">
        <v>23</v>
      </c>
      <c r="D128" s="35" t="s">
        <v>40</v>
      </c>
      <c r="E128" s="35" t="s">
        <v>48</v>
      </c>
      <c r="F128" s="35" t="s">
        <v>49</v>
      </c>
      <c r="G128" s="35" t="s">
        <v>25</v>
      </c>
      <c r="H128" s="35" t="s">
        <v>25</v>
      </c>
      <c r="I128" s="54">
        <v>44501</v>
      </c>
      <c r="J128" s="55">
        <f>EFEITO!$J$128*EFEITO!$Y$62</f>
        <v>0</v>
      </c>
      <c r="K128" s="55">
        <f ca="1">EFEITO!$L$128*EFEITO!$Z$62</f>
        <v>26.466280217724112</v>
      </c>
      <c r="L128" s="55">
        <f>EFEITO!$N$128*EFEITO!$AA$62</f>
        <v>18.852328965519764</v>
      </c>
      <c r="M128" s="55">
        <f>$J$128-EFEITO!$K$128*EFEITO!$Y$128</f>
        <v>0</v>
      </c>
      <c r="N128" s="55">
        <f ca="1">$K$128-EFEITO!$M$128*EFEITO!$Z$128</f>
        <v>1.5879768130634488</v>
      </c>
      <c r="O128" s="55">
        <f>$L$128-EFEITO!$O$128*EFEITO!$AA$128</f>
        <v>1.1311397379311856</v>
      </c>
      <c r="P128" s="39"/>
      <c r="Q128" s="39"/>
      <c r="R128" s="39"/>
      <c r="S128" s="39"/>
      <c r="T128" s="39"/>
      <c r="U128" s="39"/>
      <c r="V128" s="39"/>
      <c r="W128" s="39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1.25" customHeight="1" x14ac:dyDescent="0.2">
      <c r="A129" s="35" t="s">
        <v>21</v>
      </c>
      <c r="B129" s="35" t="s">
        <v>39</v>
      </c>
      <c r="C129" s="35" t="s">
        <v>23</v>
      </c>
      <c r="D129" s="35" t="s">
        <v>40</v>
      </c>
      <c r="E129" s="35" t="s">
        <v>48</v>
      </c>
      <c r="F129" s="35" t="s">
        <v>49</v>
      </c>
      <c r="G129" s="35" t="s">
        <v>25</v>
      </c>
      <c r="H129" s="35" t="s">
        <v>25</v>
      </c>
      <c r="I129" s="54">
        <v>44531</v>
      </c>
      <c r="J129" s="55">
        <f>EFEITO!$J$129*EFEITO!$Y$62</f>
        <v>0</v>
      </c>
      <c r="K129" s="55">
        <f ca="1">EFEITO!$L$129*EFEITO!$Z$62</f>
        <v>31.136800256146014</v>
      </c>
      <c r="L129" s="55">
        <f>EFEITO!$N$129*EFEITO!$AA$62</f>
        <v>22.179210547670309</v>
      </c>
      <c r="M129" s="55">
        <f>$J$129-EFEITO!$K$129*EFEITO!$Y$129</f>
        <v>0</v>
      </c>
      <c r="N129" s="55">
        <f ca="1">$K$129-EFEITO!$M$129*EFEITO!$Z$129</f>
        <v>1.868208015368765</v>
      </c>
      <c r="O129" s="55">
        <f>$L$129-EFEITO!$O$129*EFEITO!$AA$129</f>
        <v>1.3307526328602179</v>
      </c>
      <c r="P129" s="39"/>
      <c r="Q129" s="39"/>
      <c r="R129" s="39"/>
      <c r="S129" s="39"/>
      <c r="T129" s="39"/>
      <c r="U129" s="39"/>
      <c r="V129" s="39"/>
      <c r="W129" s="39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1.25" customHeight="1" x14ac:dyDescent="0.2">
      <c r="A130" s="35" t="s">
        <v>21</v>
      </c>
      <c r="B130" s="35" t="s">
        <v>39</v>
      </c>
      <c r="C130" s="35" t="s">
        <v>23</v>
      </c>
      <c r="D130" s="35" t="s">
        <v>40</v>
      </c>
      <c r="E130" s="35" t="s">
        <v>48</v>
      </c>
      <c r="F130" s="35" t="s">
        <v>49</v>
      </c>
      <c r="G130" s="35" t="s">
        <v>25</v>
      </c>
      <c r="H130" s="35" t="s">
        <v>25</v>
      </c>
      <c r="I130" s="54">
        <v>44562</v>
      </c>
      <c r="J130" s="55">
        <f>EFEITO!$J$130*EFEITO!$Y$62</f>
        <v>0</v>
      </c>
      <c r="K130" s="55">
        <f ca="1">EFEITO!$L$130*EFEITO!$Z$62</f>
        <v>31.136800256146014</v>
      </c>
      <c r="L130" s="55">
        <f>EFEITO!$N$130*EFEITO!$AA$62</f>
        <v>22.179210547670309</v>
      </c>
      <c r="M130" s="55">
        <f>$J$130-EFEITO!$K$130*EFEITO!$Y$130</f>
        <v>0</v>
      </c>
      <c r="N130" s="55">
        <f ca="1">$K$130-EFEITO!$M$130*EFEITO!$Z$130</f>
        <v>1.868208015368765</v>
      </c>
      <c r="O130" s="55">
        <f>$L$130-EFEITO!$O$130*EFEITO!$AA$130</f>
        <v>1.3307526328602179</v>
      </c>
      <c r="P130" s="39"/>
      <c r="Q130" s="39"/>
      <c r="R130" s="39"/>
      <c r="S130" s="39"/>
      <c r="T130" s="39"/>
      <c r="U130" s="39"/>
      <c r="V130" s="39"/>
      <c r="W130" s="39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1.25" customHeight="1" x14ac:dyDescent="0.2">
      <c r="A131" s="35" t="s">
        <v>21</v>
      </c>
      <c r="B131" s="35" t="s">
        <v>39</v>
      </c>
      <c r="C131" s="35" t="s">
        <v>23</v>
      </c>
      <c r="D131" s="35" t="s">
        <v>40</v>
      </c>
      <c r="E131" s="35" t="s">
        <v>48</v>
      </c>
      <c r="F131" s="35" t="s">
        <v>49</v>
      </c>
      <c r="G131" s="35" t="s">
        <v>25</v>
      </c>
      <c r="H131" s="35" t="s">
        <v>25</v>
      </c>
      <c r="I131" s="54">
        <v>44593</v>
      </c>
      <c r="J131" s="55">
        <f>EFEITO!$J$131*EFEITO!$Y$62</f>
        <v>0</v>
      </c>
      <c r="K131" s="55">
        <f ca="1">EFEITO!$L$131*EFEITO!$Z$62</f>
        <v>29.579960243338711</v>
      </c>
      <c r="L131" s="55">
        <f>EFEITO!$N$131*EFEITO!$AA$62</f>
        <v>21.070250020286792</v>
      </c>
      <c r="M131" s="55">
        <f>$J$131-EFEITO!$K$131*EFEITO!$Y$131</f>
        <v>0</v>
      </c>
      <c r="N131" s="55">
        <f ca="1">$K$131-EFEITO!$M$131*EFEITO!$Z$131</f>
        <v>1.7747976146003275</v>
      </c>
      <c r="O131" s="55">
        <f>$L$131-EFEITO!$O$131*EFEITO!$AA$131</f>
        <v>1.264215001217206</v>
      </c>
      <c r="P131" s="39"/>
      <c r="Q131" s="39"/>
      <c r="R131" s="39"/>
      <c r="S131" s="39"/>
      <c r="T131" s="39"/>
      <c r="U131" s="39"/>
      <c r="V131" s="39"/>
      <c r="W131" s="39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1.25" customHeight="1" x14ac:dyDescent="0.2">
      <c r="A132" s="35" t="s">
        <v>21</v>
      </c>
      <c r="B132" s="35" t="s">
        <v>39</v>
      </c>
      <c r="C132" s="35" t="s">
        <v>23</v>
      </c>
      <c r="D132" s="35" t="s">
        <v>40</v>
      </c>
      <c r="E132" s="35" t="s">
        <v>48</v>
      </c>
      <c r="F132" s="35" t="s">
        <v>49</v>
      </c>
      <c r="G132" s="35" t="s">
        <v>25</v>
      </c>
      <c r="H132" s="35" t="s">
        <v>25</v>
      </c>
      <c r="I132" s="54">
        <v>44621</v>
      </c>
      <c r="J132" s="55">
        <f>EFEITO!$J$132*EFEITO!$Y$62</f>
        <v>0</v>
      </c>
      <c r="K132" s="55">
        <f ca="1">EFEITO!$L$132*EFEITO!$Z$62</f>
        <v>30.202696248461631</v>
      </c>
      <c r="L132" s="55">
        <f>EFEITO!$N$132*EFEITO!$AA$62</f>
        <v>21.5138342312402</v>
      </c>
      <c r="M132" s="55">
        <f>$J$132-EFEITO!$K$132*EFEITO!$Y$132</f>
        <v>0</v>
      </c>
      <c r="N132" s="55">
        <f ca="1">$K$132-EFEITO!$M$132*EFEITO!$Z$132</f>
        <v>1.8121617749077004</v>
      </c>
      <c r="O132" s="55">
        <f>$L$132-EFEITO!$O$132*EFEITO!$AA$132</f>
        <v>1.2908300538744122</v>
      </c>
      <c r="P132" s="39"/>
      <c r="Q132" s="39"/>
      <c r="R132" s="39"/>
      <c r="S132" s="39"/>
      <c r="T132" s="39"/>
      <c r="U132" s="39"/>
      <c r="V132" s="39"/>
      <c r="W132" s="39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1.25" customHeight="1" x14ac:dyDescent="0.2">
      <c r="A133" s="35" t="s">
        <v>21</v>
      </c>
      <c r="B133" s="35" t="s">
        <v>39</v>
      </c>
      <c r="C133" s="35" t="s">
        <v>23</v>
      </c>
      <c r="D133" s="35" t="s">
        <v>40</v>
      </c>
      <c r="E133" s="35" t="s">
        <v>48</v>
      </c>
      <c r="F133" s="35" t="s">
        <v>49</v>
      </c>
      <c r="G133" s="35" t="s">
        <v>25</v>
      </c>
      <c r="H133" s="35" t="s">
        <v>25</v>
      </c>
      <c r="I133" s="54">
        <v>44652</v>
      </c>
      <c r="J133" s="55">
        <f>EFEITO!$J$133*EFEITO!$Y$62</f>
        <v>0</v>
      </c>
      <c r="K133" s="55">
        <f ca="1">EFEITO!$L$133*EFEITO!$Z$62</f>
        <v>29.891328245900173</v>
      </c>
      <c r="L133" s="55">
        <f>EFEITO!$N$133*EFEITO!$AA$62</f>
        <v>21.292042125763498</v>
      </c>
      <c r="M133" s="55">
        <f>$J$133-EFEITO!$K$133*EFEITO!$Y$133</f>
        <v>0</v>
      </c>
      <c r="N133" s="55">
        <f ca="1">$K$133-EFEITO!$M$133*EFEITO!$Z$133</f>
        <v>1.7934796947540157</v>
      </c>
      <c r="O133" s="55">
        <f>$L$133-EFEITO!$O$133*EFEITO!$AA$133</f>
        <v>1.2775225275458126</v>
      </c>
      <c r="P133" s="39"/>
      <c r="Q133" s="39"/>
      <c r="R133" s="39"/>
      <c r="S133" s="39"/>
      <c r="T133" s="39"/>
      <c r="U133" s="39"/>
      <c r="V133" s="39"/>
      <c r="W133" s="39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1.25" customHeight="1" x14ac:dyDescent="0.2">
      <c r="A134" s="35" t="s">
        <v>21</v>
      </c>
      <c r="B134" s="35" t="s">
        <v>39</v>
      </c>
      <c r="C134" s="35" t="s">
        <v>23</v>
      </c>
      <c r="D134" s="35" t="s">
        <v>40</v>
      </c>
      <c r="E134" s="35" t="s">
        <v>48</v>
      </c>
      <c r="F134" s="35" t="s">
        <v>49</v>
      </c>
      <c r="G134" s="35" t="s">
        <v>25</v>
      </c>
      <c r="H134" s="35" t="s">
        <v>25</v>
      </c>
      <c r="I134" s="54">
        <v>44682</v>
      </c>
      <c r="J134" s="55">
        <f>EFEITO!$J$134*EFEITO!$Y$62</f>
        <v>0</v>
      </c>
      <c r="K134" s="55">
        <f ca="1">EFEITO!$L$134*EFEITO!$Z$62</f>
        <v>31.136800256146014</v>
      </c>
      <c r="L134" s="55">
        <f>EFEITO!$N$134*EFEITO!$AA$62</f>
        <v>22.179210547670309</v>
      </c>
      <c r="M134" s="55">
        <f>$J$134-EFEITO!$K$134*EFEITO!$Y$134</f>
        <v>0</v>
      </c>
      <c r="N134" s="55">
        <f ca="1">$K$134-EFEITO!$M$134*EFEITO!$Z$134</f>
        <v>1.868208015368765</v>
      </c>
      <c r="O134" s="55">
        <f>$L$134-EFEITO!$O$134*EFEITO!$AA$134</f>
        <v>1.3307526328602179</v>
      </c>
      <c r="P134" s="39"/>
      <c r="Q134" s="39"/>
      <c r="R134" s="39"/>
      <c r="S134" s="39"/>
      <c r="T134" s="39"/>
      <c r="U134" s="39"/>
      <c r="V134" s="39"/>
      <c r="W134" s="39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1.25" customHeight="1" x14ac:dyDescent="0.2">
      <c r="A135" s="35" t="s">
        <v>21</v>
      </c>
      <c r="B135" s="35" t="s">
        <v>39</v>
      </c>
      <c r="C135" s="35" t="s">
        <v>23</v>
      </c>
      <c r="D135" s="35" t="s">
        <v>40</v>
      </c>
      <c r="E135" s="35" t="s">
        <v>48</v>
      </c>
      <c r="F135" s="35" t="s">
        <v>50</v>
      </c>
      <c r="G135" s="35" t="s">
        <v>25</v>
      </c>
      <c r="H135" s="35" t="s">
        <v>25</v>
      </c>
      <c r="I135" s="54">
        <v>44440</v>
      </c>
      <c r="J135" s="55">
        <f>EFEITO!$J$135*EFEITO!$Y$62</f>
        <v>0</v>
      </c>
      <c r="K135" s="55">
        <f ca="1">EFEITO!$L$135*EFEITO!$Z$62</f>
        <v>1.8682080153687608</v>
      </c>
      <c r="L135" s="55">
        <f>EFEITO!$N$135*EFEITO!$AA$62</f>
        <v>1.3307526328602186</v>
      </c>
      <c r="M135" s="55">
        <f>$J$135-EFEITO!$K$135*EFEITO!$Y$135</f>
        <v>0</v>
      </c>
      <c r="N135" s="55">
        <f ca="1">$K$135-EFEITO!$M$135*EFEITO!$Z$135</f>
        <v>1.165761801590107</v>
      </c>
      <c r="O135" s="55">
        <f>$L$135-EFEITO!$O$135*EFEITO!$AA$135</f>
        <v>0.83038964290477646</v>
      </c>
      <c r="P135" s="39"/>
      <c r="Q135" s="39"/>
      <c r="R135" s="39"/>
      <c r="S135" s="39"/>
      <c r="T135" s="39"/>
      <c r="U135" s="39"/>
      <c r="V135" s="39"/>
      <c r="W135" s="39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1.25" customHeight="1" x14ac:dyDescent="0.2">
      <c r="A136" s="35" t="s">
        <v>21</v>
      </c>
      <c r="B136" s="35" t="s">
        <v>39</v>
      </c>
      <c r="C136" s="35" t="s">
        <v>23</v>
      </c>
      <c r="D136" s="35" t="s">
        <v>40</v>
      </c>
      <c r="E136" s="35" t="s">
        <v>48</v>
      </c>
      <c r="F136" s="35" t="s">
        <v>50</v>
      </c>
      <c r="G136" s="35" t="s">
        <v>25</v>
      </c>
      <c r="H136" s="35" t="s">
        <v>25</v>
      </c>
      <c r="I136" s="54">
        <v>44470</v>
      </c>
      <c r="J136" s="55">
        <f>EFEITO!$J$136*EFEITO!$Y$62</f>
        <v>0</v>
      </c>
      <c r="K136" s="55">
        <f ca="1">EFEITO!$L$136*EFEITO!$Z$62</f>
        <v>4.6705200384219019</v>
      </c>
      <c r="L136" s="55">
        <f>EFEITO!$N$136*EFEITO!$AA$62</f>
        <v>3.3268815821505462</v>
      </c>
      <c r="M136" s="55">
        <f>$J$136-EFEITO!$K$136*EFEITO!$Y$136</f>
        <v>0</v>
      </c>
      <c r="N136" s="55">
        <f ca="1">$K$136-EFEITO!$M$136*EFEITO!$Z$136</f>
        <v>2.9144045039752671</v>
      </c>
      <c r="O136" s="55">
        <f>$L$136-EFEITO!$O$136*EFEITO!$AA$136</f>
        <v>2.0759741072619411</v>
      </c>
      <c r="P136" s="39"/>
      <c r="Q136" s="39"/>
      <c r="R136" s="39"/>
      <c r="S136" s="39"/>
      <c r="T136" s="39"/>
      <c r="U136" s="39"/>
      <c r="V136" s="39"/>
      <c r="W136" s="39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1.25" customHeight="1" x14ac:dyDescent="0.2">
      <c r="A137" s="35" t="s">
        <v>21</v>
      </c>
      <c r="B137" s="35" t="s">
        <v>39</v>
      </c>
      <c r="C137" s="35" t="s">
        <v>23</v>
      </c>
      <c r="D137" s="35" t="s">
        <v>40</v>
      </c>
      <c r="E137" s="35" t="s">
        <v>48</v>
      </c>
      <c r="F137" s="35" t="s">
        <v>50</v>
      </c>
      <c r="G137" s="35" t="s">
        <v>25</v>
      </c>
      <c r="H137" s="35" t="s">
        <v>25</v>
      </c>
      <c r="I137" s="54">
        <v>44501</v>
      </c>
      <c r="J137" s="55">
        <f>EFEITO!$J$137*EFEITO!$Y$62</f>
        <v>0</v>
      </c>
      <c r="K137" s="55">
        <f ca="1">EFEITO!$L$137*EFEITO!$Z$62</f>
        <v>4.6705200384219019</v>
      </c>
      <c r="L137" s="55">
        <f>EFEITO!$N$137*EFEITO!$AA$62</f>
        <v>3.3268815821505462</v>
      </c>
      <c r="M137" s="55">
        <f>$J$137-EFEITO!$K$137*EFEITO!$Y$137</f>
        <v>0</v>
      </c>
      <c r="N137" s="55">
        <f ca="1">$K$137-EFEITO!$M$137*EFEITO!$Z$137</f>
        <v>2.9144045039752671</v>
      </c>
      <c r="O137" s="55">
        <f>$L$137-EFEITO!$O$137*EFEITO!$AA$137</f>
        <v>2.0759741072619411</v>
      </c>
      <c r="P137" s="39"/>
      <c r="Q137" s="39"/>
      <c r="R137" s="39"/>
      <c r="S137" s="39"/>
      <c r="T137" s="39"/>
      <c r="U137" s="39"/>
      <c r="V137" s="39"/>
      <c r="W137" s="39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1.25" customHeight="1" x14ac:dyDescent="0.2">
      <c r="A138" s="35" t="s">
        <v>21</v>
      </c>
      <c r="B138" s="35" t="s">
        <v>39</v>
      </c>
      <c r="C138" s="35" t="s">
        <v>23</v>
      </c>
      <c r="D138" s="35" t="s">
        <v>40</v>
      </c>
      <c r="E138" s="35" t="s">
        <v>48</v>
      </c>
      <c r="F138" s="35" t="s">
        <v>50</v>
      </c>
      <c r="G138" s="35" t="s">
        <v>25</v>
      </c>
      <c r="H138" s="35" t="s">
        <v>25</v>
      </c>
      <c r="I138" s="54">
        <v>44593</v>
      </c>
      <c r="J138" s="55">
        <f>EFEITO!$J$138*EFEITO!$Y$62</f>
        <v>0</v>
      </c>
      <c r="K138" s="55">
        <f ca="1">EFEITO!$L$138*EFEITO!$Z$62</f>
        <v>1.5568400128073006</v>
      </c>
      <c r="L138" s="55">
        <f>EFEITO!$N$138*EFEITO!$AA$62</f>
        <v>1.1089605273835155</v>
      </c>
      <c r="M138" s="55">
        <f>$J$138-EFEITO!$K$138*EFEITO!$Y$138</f>
        <v>0</v>
      </c>
      <c r="N138" s="55">
        <f ca="1">$K$138-EFEITO!$M$138*EFEITO!$Z$138</f>
        <v>0.97146816799175562</v>
      </c>
      <c r="O138" s="55">
        <f>$L$138-EFEITO!$O$138*EFEITO!$AA$138</f>
        <v>0.69199136908731362</v>
      </c>
      <c r="P138" s="39"/>
      <c r="Q138" s="39"/>
      <c r="R138" s="39"/>
      <c r="S138" s="39"/>
      <c r="T138" s="39"/>
      <c r="U138" s="39"/>
      <c r="V138" s="39"/>
      <c r="W138" s="39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1.25" customHeight="1" x14ac:dyDescent="0.2">
      <c r="A139" s="35" t="s">
        <v>21</v>
      </c>
      <c r="B139" s="35" t="s">
        <v>39</v>
      </c>
      <c r="C139" s="35" t="s">
        <v>23</v>
      </c>
      <c r="D139" s="35" t="s">
        <v>40</v>
      </c>
      <c r="E139" s="35" t="s">
        <v>48</v>
      </c>
      <c r="F139" s="35" t="s">
        <v>50</v>
      </c>
      <c r="G139" s="35" t="s">
        <v>25</v>
      </c>
      <c r="H139" s="35" t="s">
        <v>25</v>
      </c>
      <c r="I139" s="54">
        <v>44621</v>
      </c>
      <c r="J139" s="55">
        <f>EFEITO!$J$139*EFEITO!$Y$62</f>
        <v>0</v>
      </c>
      <c r="K139" s="55">
        <f ca="1">EFEITO!$L$139*EFEITO!$Z$62</f>
        <v>0.9341040076843804</v>
      </c>
      <c r="L139" s="55">
        <f>EFEITO!$N$139*EFEITO!$AA$62</f>
        <v>0.6653763164301093</v>
      </c>
      <c r="M139" s="55">
        <f>$J$139-EFEITO!$K$139*EFEITO!$Y$139</f>
        <v>0</v>
      </c>
      <c r="N139" s="55">
        <f ca="1">$K$139-EFEITO!$M$139*EFEITO!$Z$139</f>
        <v>0.5828809007950535</v>
      </c>
      <c r="O139" s="55">
        <f>$L$139-EFEITO!$O$139*EFEITO!$AA$139</f>
        <v>0.41519482145238823</v>
      </c>
      <c r="P139" s="39"/>
      <c r="Q139" s="39"/>
      <c r="R139" s="39"/>
      <c r="S139" s="39"/>
      <c r="T139" s="39"/>
      <c r="U139" s="39"/>
      <c r="V139" s="39"/>
      <c r="W139" s="39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1.25" customHeight="1" x14ac:dyDescent="0.2">
      <c r="A140" s="35" t="s">
        <v>21</v>
      </c>
      <c r="B140" s="35" t="s">
        <v>39</v>
      </c>
      <c r="C140" s="35" t="s">
        <v>23</v>
      </c>
      <c r="D140" s="35" t="s">
        <v>40</v>
      </c>
      <c r="E140" s="35" t="s">
        <v>48</v>
      </c>
      <c r="F140" s="35" t="s">
        <v>50</v>
      </c>
      <c r="G140" s="35" t="s">
        <v>25</v>
      </c>
      <c r="H140" s="35" t="s">
        <v>25</v>
      </c>
      <c r="I140" s="54">
        <v>44652</v>
      </c>
      <c r="J140" s="55">
        <f>EFEITO!$J$140*EFEITO!$Y$62</f>
        <v>0</v>
      </c>
      <c r="K140" s="55">
        <f ca="1">EFEITO!$L$140*EFEITO!$Z$62</f>
        <v>1.2454720102458405</v>
      </c>
      <c r="L140" s="55">
        <f>EFEITO!$N$140*EFEITO!$AA$62</f>
        <v>0.88716842190681233</v>
      </c>
      <c r="M140" s="55">
        <f>$J$140-EFEITO!$K$140*EFEITO!$Y$140</f>
        <v>0</v>
      </c>
      <c r="N140" s="55">
        <f ca="1">$K$140-EFEITO!$M$140*EFEITO!$Z$140</f>
        <v>0.77717453439340456</v>
      </c>
      <c r="O140" s="55">
        <f>$L$140-EFEITO!$O$140*EFEITO!$AA$140</f>
        <v>0.5535930952698509</v>
      </c>
      <c r="P140" s="39"/>
      <c r="Q140" s="39"/>
      <c r="R140" s="39"/>
      <c r="S140" s="39"/>
      <c r="T140" s="39"/>
      <c r="U140" s="39"/>
      <c r="V140" s="39"/>
      <c r="W140" s="39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1.25" customHeight="1" x14ac:dyDescent="0.2">
      <c r="A141" s="35" t="s">
        <v>21</v>
      </c>
      <c r="B141" s="35" t="s">
        <v>39</v>
      </c>
      <c r="C141" s="35" t="s">
        <v>23</v>
      </c>
      <c r="D141" s="35" t="s">
        <v>40</v>
      </c>
      <c r="E141" s="35" t="s">
        <v>25</v>
      </c>
      <c r="F141" s="35" t="s">
        <v>25</v>
      </c>
      <c r="G141" s="35" t="s">
        <v>25</v>
      </c>
      <c r="H141" s="35" t="s">
        <v>25</v>
      </c>
      <c r="I141" s="54">
        <v>44440</v>
      </c>
      <c r="J141" s="55">
        <f>EFEITO!$J$141*EFEITO!$Y$62</f>
        <v>0</v>
      </c>
      <c r="K141" s="55">
        <f ca="1">EFEITO!$L$141*EFEITO!$Z$62</f>
        <v>133558.81375471782</v>
      </c>
      <c r="L141" s="55">
        <f>EFEITO!$N$141*EFEITO!$AA$62</f>
        <v>95135.949307387971</v>
      </c>
      <c r="M141" s="55">
        <f>$J$141-EFEITO!$K$141*EFEITO!$Y$141</f>
        <v>0</v>
      </c>
      <c r="N141" s="55">
        <f ca="1">$K$141-EFEITO!$M$141*EFEITO!$Z$141</f>
        <v>8013.5288252830796</v>
      </c>
      <c r="O141" s="55">
        <f>$L$141-EFEITO!$O$141*EFEITO!$AA$141</f>
        <v>5708.1569584432727</v>
      </c>
      <c r="P141" s="39"/>
      <c r="Q141" s="39"/>
      <c r="R141" s="39"/>
      <c r="S141" s="39"/>
      <c r="T141" s="39"/>
      <c r="U141" s="39"/>
      <c r="V141" s="39"/>
      <c r="W141" s="39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1.25" customHeight="1" x14ac:dyDescent="0.2">
      <c r="A142" s="35" t="s">
        <v>41</v>
      </c>
      <c r="B142" s="35" t="s">
        <v>39</v>
      </c>
      <c r="C142" s="35" t="s">
        <v>23</v>
      </c>
      <c r="D142" s="35" t="s">
        <v>40</v>
      </c>
      <c r="E142" s="35" t="s">
        <v>25</v>
      </c>
      <c r="F142" s="35" t="s">
        <v>25</v>
      </c>
      <c r="G142" s="35" t="s">
        <v>25</v>
      </c>
      <c r="H142" s="35" t="s">
        <v>25</v>
      </c>
      <c r="I142" s="54">
        <v>44440</v>
      </c>
      <c r="J142" s="55">
        <f>EFEITO!$J$142*EFEITO!$Y$62</f>
        <v>0</v>
      </c>
      <c r="K142" s="55">
        <f ca="1">EFEITO!$L$142*EFEITO!$Z$62</f>
        <v>7275.424747851077</v>
      </c>
      <c r="L142" s="55">
        <f>EFEITO!$N$142*EFEITO!$AA$62</f>
        <v>5182.3943365686446</v>
      </c>
      <c r="M142" s="55">
        <f>$J$142-EFEITO!$K$142*EFEITO!$Y$142</f>
        <v>0</v>
      </c>
      <c r="N142" s="55">
        <f ca="1">$K$142-EFEITO!$M$142*EFEITO!$Z$142</f>
        <v>436.5254848710656</v>
      </c>
      <c r="O142" s="55">
        <f>$L$142-EFEITO!$O$142*EFEITO!$AA$142</f>
        <v>310.94366019411882</v>
      </c>
      <c r="P142" s="39"/>
      <c r="Q142" s="39"/>
      <c r="R142" s="39"/>
      <c r="S142" s="39"/>
      <c r="T142" s="39"/>
      <c r="U142" s="39"/>
      <c r="V142" s="39"/>
      <c r="W142" s="39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1.25" customHeight="1" x14ac:dyDescent="0.2">
      <c r="A143" s="35" t="s">
        <v>21</v>
      </c>
      <c r="B143" s="35" t="s">
        <v>39</v>
      </c>
      <c r="C143" s="35" t="s">
        <v>23</v>
      </c>
      <c r="D143" s="35" t="s">
        <v>40</v>
      </c>
      <c r="E143" s="35" t="s">
        <v>25</v>
      </c>
      <c r="F143" s="35" t="s">
        <v>25</v>
      </c>
      <c r="G143" s="35" t="s">
        <v>25</v>
      </c>
      <c r="H143" s="35" t="s">
        <v>25</v>
      </c>
      <c r="I143" s="54">
        <v>44470</v>
      </c>
      <c r="J143" s="55">
        <f>EFEITO!$J$143*EFEITO!$Y$62</f>
        <v>0</v>
      </c>
      <c r="K143" s="55">
        <f ca="1">EFEITO!$L$143*EFEITO!$Z$62</f>
        <v>138185.43090477856</v>
      </c>
      <c r="L143" s="55">
        <f>EFEITO!$N$143*EFEITO!$AA$62</f>
        <v>98431.558202666303</v>
      </c>
      <c r="M143" s="55">
        <f>$J$143-EFEITO!$K$143*EFEITO!$Y$143</f>
        <v>0</v>
      </c>
      <c r="N143" s="55">
        <f ca="1">$K$143-EFEITO!$M$143*EFEITO!$Z$143</f>
        <v>8291.1258542867436</v>
      </c>
      <c r="O143" s="55">
        <f>$L$143-EFEITO!$O$143*EFEITO!$AA$143</f>
        <v>5905.8934921599866</v>
      </c>
      <c r="P143" s="39"/>
      <c r="Q143" s="39"/>
      <c r="R143" s="39"/>
      <c r="S143" s="39"/>
      <c r="T143" s="39"/>
      <c r="U143" s="39"/>
      <c r="V143" s="39"/>
      <c r="W143" s="39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1.25" customHeight="1" x14ac:dyDescent="0.2">
      <c r="A144" s="35" t="s">
        <v>51</v>
      </c>
      <c r="B144" s="35" t="s">
        <v>39</v>
      </c>
      <c r="C144" s="35" t="s">
        <v>23</v>
      </c>
      <c r="D144" s="35" t="s">
        <v>40</v>
      </c>
      <c r="E144" s="35" t="s">
        <v>25</v>
      </c>
      <c r="F144" s="35" t="s">
        <v>25</v>
      </c>
      <c r="G144" s="35" t="s">
        <v>25</v>
      </c>
      <c r="H144" s="35" t="s">
        <v>25</v>
      </c>
      <c r="I144" s="54">
        <v>44470</v>
      </c>
      <c r="J144" s="55">
        <f>EFEITO!$J$144*EFEITO!$Y$62</f>
        <v>0</v>
      </c>
      <c r="K144" s="55">
        <f ca="1">EFEITO!$L$144*EFEITO!$Z$62</f>
        <v>-231.96916190828779</v>
      </c>
      <c r="L144" s="55">
        <f>EFEITO!$N$144*EFEITO!$AA$62</f>
        <v>-165.23511858014379</v>
      </c>
      <c r="M144" s="55">
        <f>$J$144-EFEITO!$K$144*EFEITO!$Y$144</f>
        <v>0</v>
      </c>
      <c r="N144" s="55">
        <f ca="1">$K$144-EFEITO!$M$144*EFEITO!$Z$144</f>
        <v>-13.918149714497304</v>
      </c>
      <c r="O144" s="55">
        <f>$L$144-EFEITO!$O$144*EFEITO!$AA$144</f>
        <v>-9.9141071148086155</v>
      </c>
      <c r="P144" s="39"/>
      <c r="Q144" s="39"/>
      <c r="R144" s="39"/>
      <c r="S144" s="39"/>
      <c r="T144" s="39"/>
      <c r="U144" s="39"/>
      <c r="V144" s="39"/>
      <c r="W144" s="39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1.25" customHeight="1" x14ac:dyDescent="0.2">
      <c r="A145" s="35" t="s">
        <v>41</v>
      </c>
      <c r="B145" s="35" t="s">
        <v>39</v>
      </c>
      <c r="C145" s="35" t="s">
        <v>23</v>
      </c>
      <c r="D145" s="35" t="s">
        <v>40</v>
      </c>
      <c r="E145" s="35" t="s">
        <v>25</v>
      </c>
      <c r="F145" s="35" t="s">
        <v>25</v>
      </c>
      <c r="G145" s="35" t="s">
        <v>25</v>
      </c>
      <c r="H145" s="35" t="s">
        <v>25</v>
      </c>
      <c r="I145" s="54">
        <v>44470</v>
      </c>
      <c r="J145" s="55">
        <f>EFEITO!$J$145*EFEITO!$Y$62</f>
        <v>0</v>
      </c>
      <c r="K145" s="55">
        <f ca="1">EFEITO!$L$145*EFEITO!$Z$62</f>
        <v>5647.9041984623245</v>
      </c>
      <c r="L145" s="55">
        <f>EFEITO!$N$145*EFEITO!$AA$62</f>
        <v>4023.0870012419173</v>
      </c>
      <c r="M145" s="55">
        <f>$J$145-EFEITO!$K$145*EFEITO!$Y$145</f>
        <v>0</v>
      </c>
      <c r="N145" s="55">
        <f ca="1">$K$145-EFEITO!$M$145*EFEITO!$Z$145</f>
        <v>338.87425190773956</v>
      </c>
      <c r="O145" s="55">
        <f>$L$145-EFEITO!$O$145*EFEITO!$AA$145</f>
        <v>241.38522007451547</v>
      </c>
      <c r="P145" s="39"/>
      <c r="Q145" s="39"/>
      <c r="R145" s="39"/>
      <c r="S145" s="39"/>
      <c r="T145" s="39"/>
      <c r="U145" s="39"/>
      <c r="V145" s="39"/>
      <c r="W145" s="39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1.25" customHeight="1" x14ac:dyDescent="0.2">
      <c r="A146" s="35" t="s">
        <v>21</v>
      </c>
      <c r="B146" s="35" t="s">
        <v>39</v>
      </c>
      <c r="C146" s="35" t="s">
        <v>23</v>
      </c>
      <c r="D146" s="35" t="s">
        <v>40</v>
      </c>
      <c r="E146" s="35" t="s">
        <v>25</v>
      </c>
      <c r="F146" s="35" t="s">
        <v>25</v>
      </c>
      <c r="G146" s="35" t="s">
        <v>25</v>
      </c>
      <c r="H146" s="35" t="s">
        <v>25</v>
      </c>
      <c r="I146" s="54">
        <v>44501</v>
      </c>
      <c r="J146" s="55">
        <f>EFEITO!$J$146*EFEITO!$Y$62</f>
        <v>0</v>
      </c>
      <c r="K146" s="55">
        <f ca="1">EFEITO!$L$146*EFEITO!$Z$62</f>
        <v>164835.7296120165</v>
      </c>
      <c r="L146" s="55">
        <f>EFEITO!$N$146*EFEITO!$AA$62</f>
        <v>117414.96630252281</v>
      </c>
      <c r="M146" s="55">
        <f>$J$146-EFEITO!$K$146*EFEITO!$Y$146</f>
        <v>0</v>
      </c>
      <c r="N146" s="55">
        <f ca="1">$K$146-EFEITO!$M$146*EFEITO!$Z$146</f>
        <v>9890.1437767210009</v>
      </c>
      <c r="O146" s="55">
        <f>$L$146-EFEITO!$O$146*EFEITO!$AA$146</f>
        <v>7044.8979781513626</v>
      </c>
      <c r="P146" s="39"/>
      <c r="Q146" s="39"/>
      <c r="R146" s="39"/>
      <c r="S146" s="39"/>
      <c r="T146" s="39"/>
      <c r="U146" s="39"/>
      <c r="V146" s="39"/>
      <c r="W146" s="39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1.25" customHeight="1" x14ac:dyDescent="0.2">
      <c r="A147" s="35" t="s">
        <v>41</v>
      </c>
      <c r="B147" s="35" t="s">
        <v>39</v>
      </c>
      <c r="C147" s="35" t="s">
        <v>23</v>
      </c>
      <c r="D147" s="35" t="s">
        <v>40</v>
      </c>
      <c r="E147" s="35" t="s">
        <v>25</v>
      </c>
      <c r="F147" s="35" t="s">
        <v>25</v>
      </c>
      <c r="G147" s="35" t="s">
        <v>25</v>
      </c>
      <c r="H147" s="35" t="s">
        <v>25</v>
      </c>
      <c r="I147" s="54">
        <v>44501</v>
      </c>
      <c r="J147" s="55">
        <f>EFEITO!$J$147*EFEITO!$Y$62</f>
        <v>0</v>
      </c>
      <c r="K147" s="55">
        <f ca="1">EFEITO!$L$147*EFEITO!$Z$62</f>
        <v>7862.042064676868</v>
      </c>
      <c r="L147" s="55">
        <f>EFEITO!$N$147*EFEITO!$AA$62</f>
        <v>5600.2506632867526</v>
      </c>
      <c r="M147" s="55">
        <f>$J$147-EFEITO!$K$147*EFEITO!$Y$147</f>
        <v>0</v>
      </c>
      <c r="N147" s="55">
        <f ca="1">$K$147-EFEITO!$M$147*EFEITO!$Z$147</f>
        <v>471.72252388061315</v>
      </c>
      <c r="O147" s="55">
        <f>$L$147-EFEITO!$O$147*EFEITO!$AA$147</f>
        <v>336.01503979720474</v>
      </c>
      <c r="P147" s="39"/>
      <c r="Q147" s="39"/>
      <c r="R147" s="39"/>
      <c r="S147" s="39"/>
      <c r="T147" s="39"/>
      <c r="U147" s="39"/>
      <c r="V147" s="39"/>
      <c r="W147" s="39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1.25" customHeight="1" x14ac:dyDescent="0.2">
      <c r="A148" s="35" t="s">
        <v>21</v>
      </c>
      <c r="B148" s="35" t="s">
        <v>39</v>
      </c>
      <c r="C148" s="35" t="s">
        <v>23</v>
      </c>
      <c r="D148" s="35" t="s">
        <v>40</v>
      </c>
      <c r="E148" s="35" t="s">
        <v>25</v>
      </c>
      <c r="F148" s="35" t="s">
        <v>25</v>
      </c>
      <c r="G148" s="35" t="s">
        <v>25</v>
      </c>
      <c r="H148" s="35" t="s">
        <v>25</v>
      </c>
      <c r="I148" s="54">
        <v>44531</v>
      </c>
      <c r="J148" s="55">
        <f>EFEITO!$J$148*EFEITO!$Y$62</f>
        <v>0</v>
      </c>
      <c r="K148" s="55">
        <f ca="1">EFEITO!$L$148*EFEITO!$Z$62</f>
        <v>149131.26166682414</v>
      </c>
      <c r="L148" s="55">
        <f>EFEITO!$N$148*EFEITO!$AA$62</f>
        <v>106228.43787859433</v>
      </c>
      <c r="M148" s="55">
        <f>$J$148-EFEITO!$K$148*EFEITO!$Y$148</f>
        <v>0</v>
      </c>
      <c r="N148" s="55">
        <f ca="1">$K$148-EFEITO!$M$148*EFEITO!$Z$148</f>
        <v>8947.875700009492</v>
      </c>
      <c r="O148" s="55">
        <f>$L$148-EFEITO!$O$148*EFEITO!$AA$148</f>
        <v>6373.7062727156735</v>
      </c>
      <c r="P148" s="39"/>
      <c r="Q148" s="39"/>
      <c r="R148" s="39"/>
      <c r="S148" s="39"/>
      <c r="T148" s="39"/>
      <c r="U148" s="39"/>
      <c r="V148" s="39"/>
      <c r="W148" s="39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1.25" customHeight="1" x14ac:dyDescent="0.2">
      <c r="A149" s="35" t="s">
        <v>41</v>
      </c>
      <c r="B149" s="35" t="s">
        <v>39</v>
      </c>
      <c r="C149" s="35" t="s">
        <v>23</v>
      </c>
      <c r="D149" s="35" t="s">
        <v>40</v>
      </c>
      <c r="E149" s="35" t="s">
        <v>25</v>
      </c>
      <c r="F149" s="35" t="s">
        <v>25</v>
      </c>
      <c r="G149" s="35" t="s">
        <v>25</v>
      </c>
      <c r="H149" s="35" t="s">
        <v>25</v>
      </c>
      <c r="I149" s="54">
        <v>44531</v>
      </c>
      <c r="J149" s="55">
        <f>EFEITO!$J$149*EFEITO!$Y$62</f>
        <v>0</v>
      </c>
      <c r="K149" s="55">
        <f ca="1">EFEITO!$L$149*EFEITO!$Z$62</f>
        <v>4828.0722477180007</v>
      </c>
      <c r="L149" s="55">
        <f>EFEITO!$N$149*EFEITO!$AA$62</f>
        <v>3439.1083875217582</v>
      </c>
      <c r="M149" s="55">
        <f>$J$149-EFEITO!$K$149*EFEITO!$Y$149</f>
        <v>0</v>
      </c>
      <c r="N149" s="55">
        <f ca="1">$K$149-EFEITO!$M$149*EFEITO!$Z$149</f>
        <v>289.68433486308095</v>
      </c>
      <c r="O149" s="55">
        <f>$L$149-EFEITO!$O$149*EFEITO!$AA$149</f>
        <v>206.34650325130588</v>
      </c>
      <c r="P149" s="39"/>
      <c r="Q149" s="39"/>
      <c r="R149" s="39"/>
      <c r="S149" s="39"/>
      <c r="T149" s="39"/>
      <c r="U149" s="39"/>
      <c r="V149" s="39"/>
      <c r="W149" s="39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1.25" customHeight="1" x14ac:dyDescent="0.2">
      <c r="A150" s="35" t="s">
        <v>21</v>
      </c>
      <c r="B150" s="35" t="s">
        <v>39</v>
      </c>
      <c r="C150" s="35" t="s">
        <v>23</v>
      </c>
      <c r="D150" s="35" t="s">
        <v>40</v>
      </c>
      <c r="E150" s="35" t="s">
        <v>25</v>
      </c>
      <c r="F150" s="35" t="s">
        <v>25</v>
      </c>
      <c r="G150" s="35" t="s">
        <v>25</v>
      </c>
      <c r="H150" s="35" t="s">
        <v>25</v>
      </c>
      <c r="I150" s="54">
        <v>44562</v>
      </c>
      <c r="J150" s="55">
        <f>EFEITO!$J$150*EFEITO!$Y$62</f>
        <v>0</v>
      </c>
      <c r="K150" s="55">
        <f ca="1">EFEITO!$L$150*EFEITO!$Z$62</f>
        <v>162002.90352471231</v>
      </c>
      <c r="L150" s="55">
        <f>EFEITO!$N$150*EFEITO!$AA$62</f>
        <v>115397.10172689575</v>
      </c>
      <c r="M150" s="55">
        <f>$J$150-EFEITO!$K$150*EFEITO!$Y$150</f>
        <v>0</v>
      </c>
      <c r="N150" s="55">
        <f ca="1">$K$150-EFEITO!$M$150*EFEITO!$Z$150</f>
        <v>9720.1742114827503</v>
      </c>
      <c r="O150" s="55">
        <f>$L$150-EFEITO!$O$150*EFEITO!$AA$150</f>
        <v>6923.8261036137555</v>
      </c>
      <c r="P150" s="39"/>
      <c r="Q150" s="39"/>
      <c r="R150" s="39"/>
      <c r="S150" s="39"/>
      <c r="T150" s="39"/>
      <c r="U150" s="39"/>
      <c r="V150" s="39"/>
      <c r="W150" s="39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1.25" customHeight="1" x14ac:dyDescent="0.2">
      <c r="A151" s="35" t="s">
        <v>41</v>
      </c>
      <c r="B151" s="35" t="s">
        <v>39</v>
      </c>
      <c r="C151" s="35" t="s">
        <v>23</v>
      </c>
      <c r="D151" s="35" t="s">
        <v>40</v>
      </c>
      <c r="E151" s="35" t="s">
        <v>25</v>
      </c>
      <c r="F151" s="35" t="s">
        <v>25</v>
      </c>
      <c r="G151" s="35" t="s">
        <v>25</v>
      </c>
      <c r="H151" s="35" t="s">
        <v>25</v>
      </c>
      <c r="I151" s="54">
        <v>44562</v>
      </c>
      <c r="J151" s="55">
        <f>EFEITO!$J$151*EFEITO!$Y$62</f>
        <v>0</v>
      </c>
      <c r="K151" s="55">
        <f ca="1">EFEITO!$L$151*EFEITO!$Z$62</f>
        <v>15882.881810660079</v>
      </c>
      <c r="L151" s="55">
        <f>EFEITO!$N$151*EFEITO!$AA$62</f>
        <v>11313.615300366624</v>
      </c>
      <c r="M151" s="55">
        <f>$J$151-EFEITO!$K$151*EFEITO!$Y$151</f>
        <v>0</v>
      </c>
      <c r="N151" s="55">
        <f ca="1">$K$151-EFEITO!$M$151*EFEITO!$Z$151</f>
        <v>952.97290863960552</v>
      </c>
      <c r="O151" s="55">
        <f>$L$151-EFEITO!$O$151*EFEITO!$AA$151</f>
        <v>678.81691802199748</v>
      </c>
      <c r="P151" s="39"/>
      <c r="Q151" s="39"/>
      <c r="R151" s="39"/>
      <c r="S151" s="39"/>
      <c r="T151" s="39"/>
      <c r="U151" s="39"/>
      <c r="V151" s="39"/>
      <c r="W151" s="39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1.25" customHeight="1" x14ac:dyDescent="0.2">
      <c r="A152" s="35" t="s">
        <v>21</v>
      </c>
      <c r="B152" s="35" t="s">
        <v>39</v>
      </c>
      <c r="C152" s="35" t="s">
        <v>23</v>
      </c>
      <c r="D152" s="35" t="s">
        <v>40</v>
      </c>
      <c r="E152" s="35" t="s">
        <v>25</v>
      </c>
      <c r="F152" s="35" t="s">
        <v>25</v>
      </c>
      <c r="G152" s="35" t="s">
        <v>25</v>
      </c>
      <c r="H152" s="35" t="s">
        <v>25</v>
      </c>
      <c r="I152" s="54">
        <v>44593</v>
      </c>
      <c r="J152" s="55">
        <f>EFEITO!$J$152*EFEITO!$Y$62</f>
        <v>0</v>
      </c>
      <c r="K152" s="55">
        <f ca="1">EFEITO!$L$152*EFEITO!$Z$62</f>
        <v>139727.63662146547</v>
      </c>
      <c r="L152" s="55">
        <f>EFEITO!$N$152*EFEITO!$AA$62</f>
        <v>99530.094501092419</v>
      </c>
      <c r="M152" s="55">
        <f>$J$152-EFEITO!$K$152*EFEITO!$Y$152</f>
        <v>0</v>
      </c>
      <c r="N152" s="55">
        <f ca="1">$K$152-EFEITO!$M$152*EFEITO!$Z$152</f>
        <v>8383.6581972879358</v>
      </c>
      <c r="O152" s="55">
        <f>$L$152-EFEITO!$O$152*EFEITO!$AA$152</f>
        <v>5971.8056700655434</v>
      </c>
      <c r="P152" s="39"/>
      <c r="Q152" s="39"/>
      <c r="R152" s="39"/>
      <c r="S152" s="39"/>
      <c r="T152" s="39"/>
      <c r="U152" s="39"/>
      <c r="V152" s="39"/>
      <c r="W152" s="39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1.25" customHeight="1" x14ac:dyDescent="0.2">
      <c r="A153" s="35" t="s">
        <v>41</v>
      </c>
      <c r="B153" s="35" t="s">
        <v>39</v>
      </c>
      <c r="C153" s="35" t="s">
        <v>23</v>
      </c>
      <c r="D153" s="35" t="s">
        <v>40</v>
      </c>
      <c r="E153" s="35" t="s">
        <v>25</v>
      </c>
      <c r="F153" s="35" t="s">
        <v>25</v>
      </c>
      <c r="G153" s="35" t="s">
        <v>25</v>
      </c>
      <c r="H153" s="35" t="s">
        <v>25</v>
      </c>
      <c r="I153" s="54">
        <v>44593</v>
      </c>
      <c r="J153" s="55">
        <f>EFEITO!$J$153*EFEITO!$Y$62</f>
        <v>0</v>
      </c>
      <c r="K153" s="55">
        <f ca="1">EFEITO!$L$153*EFEITO!$Z$62</f>
        <v>7580.2540223587466</v>
      </c>
      <c r="L153" s="55">
        <f>EFEITO!$N$153*EFEITO!$AA$62</f>
        <v>5399.5288078303365</v>
      </c>
      <c r="M153" s="55">
        <f>$J$153-EFEITO!$K$153*EFEITO!$Y$153</f>
        <v>0</v>
      </c>
      <c r="N153" s="55">
        <f ca="1">$K$153-EFEITO!$M$153*EFEITO!$Z$153</f>
        <v>454.81524134152642</v>
      </c>
      <c r="O153" s="55">
        <f>$L$153-EFEITO!$O$153*EFEITO!$AA$153</f>
        <v>323.97172846982085</v>
      </c>
      <c r="P153" s="39"/>
      <c r="Q153" s="39"/>
      <c r="R153" s="39"/>
      <c r="S153" s="39"/>
      <c r="T153" s="39"/>
      <c r="U153" s="39"/>
      <c r="V153" s="39"/>
      <c r="W153" s="39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1.25" customHeight="1" x14ac:dyDescent="0.2">
      <c r="A154" s="35" t="s">
        <v>21</v>
      </c>
      <c r="B154" s="35" t="s">
        <v>39</v>
      </c>
      <c r="C154" s="35" t="s">
        <v>23</v>
      </c>
      <c r="D154" s="35" t="s">
        <v>40</v>
      </c>
      <c r="E154" s="35" t="s">
        <v>25</v>
      </c>
      <c r="F154" s="35" t="s">
        <v>25</v>
      </c>
      <c r="G154" s="35" t="s">
        <v>25</v>
      </c>
      <c r="H154" s="35" t="s">
        <v>25</v>
      </c>
      <c r="I154" s="54">
        <v>44621</v>
      </c>
      <c r="J154" s="55">
        <f>EFEITO!$J$154*EFEITO!$Y$62</f>
        <v>0</v>
      </c>
      <c r="K154" s="55">
        <f ca="1">EFEITO!$L$154*EFEITO!$Z$62</f>
        <v>137412.61552242102</v>
      </c>
      <c r="L154" s="55">
        <f>EFEITO!$N$154*EFEITO!$AA$62</f>
        <v>97881.07019687313</v>
      </c>
      <c r="M154" s="55">
        <f>$J$154-EFEITO!$K$154*EFEITO!$Y$154</f>
        <v>0</v>
      </c>
      <c r="N154" s="55">
        <f ca="1">$K$154-EFEITO!$M$154*EFEITO!$Z$154</f>
        <v>8244.7569313452841</v>
      </c>
      <c r="O154" s="55">
        <f>$L$154-EFEITO!$O$154*EFEITO!$AA$154</f>
        <v>5872.8642118123826</v>
      </c>
      <c r="P154" s="39"/>
      <c r="Q154" s="39"/>
      <c r="R154" s="39"/>
      <c r="S154" s="39"/>
      <c r="T154" s="39"/>
      <c r="U154" s="39"/>
      <c r="V154" s="39"/>
      <c r="W154" s="39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1.25" customHeight="1" x14ac:dyDescent="0.2">
      <c r="A155" s="35" t="s">
        <v>41</v>
      </c>
      <c r="B155" s="35" t="s">
        <v>39</v>
      </c>
      <c r="C155" s="35" t="s">
        <v>23</v>
      </c>
      <c r="D155" s="35" t="s">
        <v>40</v>
      </c>
      <c r="E155" s="35" t="s">
        <v>25</v>
      </c>
      <c r="F155" s="35" t="s">
        <v>25</v>
      </c>
      <c r="G155" s="35" t="s">
        <v>25</v>
      </c>
      <c r="H155" s="35" t="s">
        <v>25</v>
      </c>
      <c r="I155" s="54">
        <v>44621</v>
      </c>
      <c r="J155" s="55">
        <f>EFEITO!$J$155*EFEITO!$Y$62</f>
        <v>0</v>
      </c>
      <c r="K155" s="55">
        <f ca="1">EFEITO!$L$155*EFEITO!$Z$62</f>
        <v>12347.609509577262</v>
      </c>
      <c r="L155" s="55">
        <f>EFEITO!$N$155*EFEITO!$AA$62</f>
        <v>8795.3877347841371</v>
      </c>
      <c r="M155" s="55">
        <f>$J$155-EFEITO!$K$155*EFEITO!$Y$155</f>
        <v>0</v>
      </c>
      <c r="N155" s="55">
        <f ca="1">$K$155-EFEITO!$M$155*EFEITO!$Z$155</f>
        <v>740.85657057463686</v>
      </c>
      <c r="O155" s="55">
        <f>$L$155-EFEITO!$O$155*EFEITO!$AA$155</f>
        <v>527.72326408704794</v>
      </c>
      <c r="P155" s="39"/>
      <c r="Q155" s="39"/>
      <c r="R155" s="39"/>
      <c r="S155" s="39"/>
      <c r="T155" s="39"/>
      <c r="U155" s="39"/>
      <c r="V155" s="39"/>
      <c r="W155" s="39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1.25" customHeight="1" x14ac:dyDescent="0.2">
      <c r="A156" s="35" t="s">
        <v>21</v>
      </c>
      <c r="B156" s="35" t="s">
        <v>39</v>
      </c>
      <c r="C156" s="35" t="s">
        <v>23</v>
      </c>
      <c r="D156" s="35" t="s">
        <v>40</v>
      </c>
      <c r="E156" s="35" t="s">
        <v>25</v>
      </c>
      <c r="F156" s="35" t="s">
        <v>25</v>
      </c>
      <c r="G156" s="35" t="s">
        <v>25</v>
      </c>
      <c r="H156" s="35" t="s">
        <v>25</v>
      </c>
      <c r="I156" s="54">
        <v>44652</v>
      </c>
      <c r="J156" s="55">
        <f>EFEITO!$J$156*EFEITO!$Y$62</f>
        <v>0</v>
      </c>
      <c r="K156" s="55">
        <f ca="1">EFEITO!$L$156*EFEITO!$Z$62</f>
        <v>125823.18709908091</v>
      </c>
      <c r="L156" s="55">
        <f>EFEITO!$N$156*EFEITO!$AA$62</f>
        <v>89625.746238924767</v>
      </c>
      <c r="M156" s="55">
        <f>$J$156-EFEITO!$K$156*EFEITO!$Y$156</f>
        <v>0</v>
      </c>
      <c r="N156" s="55">
        <f ca="1">$K$156-EFEITO!$M$156*EFEITO!$Z$156</f>
        <v>7549.3912259448698</v>
      </c>
      <c r="O156" s="55">
        <f>$L$156-EFEITO!$O$156*EFEITO!$AA$156</f>
        <v>5377.5447743354889</v>
      </c>
      <c r="P156" s="39"/>
      <c r="Q156" s="39"/>
      <c r="R156" s="39"/>
      <c r="S156" s="39"/>
      <c r="T156" s="39"/>
      <c r="U156" s="39"/>
      <c r="V156" s="39"/>
      <c r="W156" s="39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1.25" customHeight="1" x14ac:dyDescent="0.2">
      <c r="A157" s="35" t="s">
        <v>41</v>
      </c>
      <c r="B157" s="35" t="s">
        <v>39</v>
      </c>
      <c r="C157" s="35" t="s">
        <v>23</v>
      </c>
      <c r="D157" s="35" t="s">
        <v>40</v>
      </c>
      <c r="E157" s="35" t="s">
        <v>25</v>
      </c>
      <c r="F157" s="35" t="s">
        <v>25</v>
      </c>
      <c r="G157" s="35" t="s">
        <v>25</v>
      </c>
      <c r="H157" s="35" t="s">
        <v>25</v>
      </c>
      <c r="I157" s="54">
        <v>44652</v>
      </c>
      <c r="J157" s="55">
        <f>EFEITO!$J$157*EFEITO!$Y$62</f>
        <v>0</v>
      </c>
      <c r="K157" s="55">
        <f ca="1">EFEITO!$L$157*EFEITO!$Z$62</f>
        <v>12191.925508296532</v>
      </c>
      <c r="L157" s="55">
        <f>EFEITO!$N$157*EFEITO!$AA$62</f>
        <v>8684.4916820457856</v>
      </c>
      <c r="M157" s="55">
        <f>$J$157-EFEITO!$K$157*EFEITO!$Y$157</f>
        <v>0</v>
      </c>
      <c r="N157" s="55">
        <f ca="1">$K$157-EFEITO!$M$157*EFEITO!$Z$157</f>
        <v>731.51553049779432</v>
      </c>
      <c r="O157" s="55">
        <f>$L$157-EFEITO!$O$157*EFEITO!$AA$157</f>
        <v>521.06950092274747</v>
      </c>
      <c r="P157" s="39"/>
      <c r="Q157" s="39"/>
      <c r="R157" s="39"/>
      <c r="S157" s="39"/>
      <c r="T157" s="39"/>
      <c r="U157" s="39"/>
      <c r="V157" s="39"/>
      <c r="W157" s="39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1.25" customHeight="1" x14ac:dyDescent="0.2">
      <c r="A158" s="35" t="s">
        <v>21</v>
      </c>
      <c r="B158" s="35" t="s">
        <v>39</v>
      </c>
      <c r="C158" s="35" t="s">
        <v>23</v>
      </c>
      <c r="D158" s="35" t="s">
        <v>40</v>
      </c>
      <c r="E158" s="35" t="s">
        <v>25</v>
      </c>
      <c r="F158" s="35" t="s">
        <v>25</v>
      </c>
      <c r="G158" s="35" t="s">
        <v>25</v>
      </c>
      <c r="H158" s="35" t="s">
        <v>25</v>
      </c>
      <c r="I158" s="54">
        <v>44682</v>
      </c>
      <c r="J158" s="55">
        <f>EFEITO!$J$158*EFEITO!$Y$62</f>
        <v>0</v>
      </c>
      <c r="K158" s="55">
        <f ca="1">EFEITO!$L$158*EFEITO!$Z$62</f>
        <v>127442.30071240051</v>
      </c>
      <c r="L158" s="55">
        <f>EFEITO!$N$158*EFEITO!$AA$62</f>
        <v>90779.065187403627</v>
      </c>
      <c r="M158" s="55">
        <f>$J$158-EFEITO!$K$158*EFEITO!$Y$158</f>
        <v>0</v>
      </c>
      <c r="N158" s="55">
        <f ca="1">$K$158-EFEITO!$M$158*EFEITO!$Z$158</f>
        <v>7646.5380427440541</v>
      </c>
      <c r="O158" s="55">
        <f>$L$158-EFEITO!$O$158*EFEITO!$AA$158</f>
        <v>5446.7439112442225</v>
      </c>
      <c r="P158" s="39"/>
      <c r="Q158" s="39"/>
      <c r="R158" s="39"/>
      <c r="S158" s="39"/>
      <c r="T158" s="39"/>
      <c r="U158" s="39"/>
      <c r="V158" s="39"/>
      <c r="W158" s="39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1.25" customHeight="1" x14ac:dyDescent="0.2">
      <c r="A159" s="35" t="s">
        <v>41</v>
      </c>
      <c r="B159" s="35" t="s">
        <v>39</v>
      </c>
      <c r="C159" s="35" t="s">
        <v>23</v>
      </c>
      <c r="D159" s="35" t="s">
        <v>40</v>
      </c>
      <c r="E159" s="35" t="s">
        <v>25</v>
      </c>
      <c r="F159" s="35" t="s">
        <v>25</v>
      </c>
      <c r="G159" s="35" t="s">
        <v>25</v>
      </c>
      <c r="H159" s="35" t="s">
        <v>25</v>
      </c>
      <c r="I159" s="54">
        <v>44682</v>
      </c>
      <c r="J159" s="55">
        <f>EFEITO!$J$159*EFEITO!$Y$62</f>
        <v>0</v>
      </c>
      <c r="K159" s="55">
        <f ca="1">EFEITO!$L$159*EFEITO!$Z$62</f>
        <v>14057.331211642238</v>
      </c>
      <c r="L159" s="55">
        <f>EFEITO!$N$159*EFEITO!$AA$62</f>
        <v>10013.248185956714</v>
      </c>
      <c r="M159" s="55">
        <f>$J$159-EFEITO!$K$159*EFEITO!$Y$159</f>
        <v>0</v>
      </c>
      <c r="N159" s="55">
        <f ca="1">$K$159-EFEITO!$M$159*EFEITO!$Z$159</f>
        <v>843.4398726985346</v>
      </c>
      <c r="O159" s="55">
        <f>$L$159-EFEITO!$O$159*EFEITO!$AA$159</f>
        <v>600.79489115740398</v>
      </c>
      <c r="P159" s="39"/>
      <c r="Q159" s="39"/>
      <c r="R159" s="39"/>
      <c r="S159" s="39"/>
      <c r="T159" s="39"/>
      <c r="U159" s="39"/>
      <c r="V159" s="39"/>
      <c r="W159" s="39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1.25" customHeight="1" x14ac:dyDescent="0.2">
      <c r="A160" s="35" t="s">
        <v>21</v>
      </c>
      <c r="B160" s="35" t="s">
        <v>39</v>
      </c>
      <c r="C160" s="35" t="s">
        <v>23</v>
      </c>
      <c r="D160" s="35" t="s">
        <v>40</v>
      </c>
      <c r="E160" s="35" t="s">
        <v>25</v>
      </c>
      <c r="F160" s="35" t="s">
        <v>25</v>
      </c>
      <c r="G160" s="35" t="s">
        <v>25</v>
      </c>
      <c r="H160" s="35" t="s">
        <v>25</v>
      </c>
      <c r="I160" s="54">
        <v>44713</v>
      </c>
      <c r="J160" s="55">
        <f>EFEITO!$J$160*EFEITO!$Y$62</f>
        <v>0</v>
      </c>
      <c r="K160" s="55">
        <f ca="1">EFEITO!$L$160*EFEITO!$Z$62</f>
        <v>120498.17151927481</v>
      </c>
      <c r="L160" s="55">
        <f>EFEITO!$N$160*EFEITO!$AA$62</f>
        <v>85832.657651062182</v>
      </c>
      <c r="M160" s="55">
        <f>$J$160-EFEITO!$K$160*EFEITO!$Y$160</f>
        <v>0</v>
      </c>
      <c r="N160" s="55">
        <f ca="1">$K$160-EFEITO!$M$160*EFEITO!$Z$160</f>
        <v>7229.8902911564946</v>
      </c>
      <c r="O160" s="55">
        <f>$L$160-EFEITO!$O$160*EFEITO!$AA$160</f>
        <v>5149.959459063728</v>
      </c>
      <c r="P160" s="39"/>
      <c r="Q160" s="39"/>
      <c r="R160" s="39"/>
      <c r="S160" s="39"/>
      <c r="T160" s="39"/>
      <c r="U160" s="39"/>
      <c r="V160" s="39"/>
      <c r="W160" s="39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1.25" customHeight="1" x14ac:dyDescent="0.2">
      <c r="A161" s="35" t="s">
        <v>41</v>
      </c>
      <c r="B161" s="35" t="s">
        <v>39</v>
      </c>
      <c r="C161" s="35" t="s">
        <v>23</v>
      </c>
      <c r="D161" s="35" t="s">
        <v>40</v>
      </c>
      <c r="E161" s="35" t="s">
        <v>25</v>
      </c>
      <c r="F161" s="35" t="s">
        <v>25</v>
      </c>
      <c r="G161" s="35" t="s">
        <v>25</v>
      </c>
      <c r="H161" s="35" t="s">
        <v>25</v>
      </c>
      <c r="I161" s="54">
        <v>44713</v>
      </c>
      <c r="J161" s="55">
        <f>EFEITO!$J$161*EFEITO!$Y$62</f>
        <v>0</v>
      </c>
      <c r="K161" s="55">
        <f ca="1">EFEITO!$L$161*EFEITO!$Z$62</f>
        <v>15521.694927688788</v>
      </c>
      <c r="L161" s="55">
        <f>EFEITO!$N$161*EFEITO!$AA$62</f>
        <v>11056.336458013649</v>
      </c>
      <c r="M161" s="55">
        <f>$J$161-EFEITO!$K$161*EFEITO!$Y$161</f>
        <v>0</v>
      </c>
      <c r="N161" s="55">
        <f ca="1">$K$161-EFEITO!$M$161*EFEITO!$Z$161</f>
        <v>931.30169566133009</v>
      </c>
      <c r="O161" s="55">
        <f>$L$161-EFEITO!$O$161*EFEITO!$AA$161</f>
        <v>663.38018748081959</v>
      </c>
      <c r="P161" s="39"/>
      <c r="Q161" s="39"/>
      <c r="R161" s="39"/>
      <c r="S161" s="39"/>
      <c r="T161" s="39"/>
      <c r="U161" s="39"/>
      <c r="V161" s="39"/>
      <c r="W161" s="39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1.25" customHeight="1" x14ac:dyDescent="0.2">
      <c r="A162" s="35" t="s">
        <v>21</v>
      </c>
      <c r="B162" s="35" t="s">
        <v>39</v>
      </c>
      <c r="C162" s="35" t="s">
        <v>23</v>
      </c>
      <c r="D162" s="35" t="s">
        <v>40</v>
      </c>
      <c r="E162" s="35" t="s">
        <v>25</v>
      </c>
      <c r="F162" s="35" t="s">
        <v>25</v>
      </c>
      <c r="G162" s="35" t="s">
        <v>25</v>
      </c>
      <c r="H162" s="35" t="s">
        <v>25</v>
      </c>
      <c r="I162" s="54">
        <v>44743</v>
      </c>
      <c r="J162" s="55">
        <f>EFEITO!$J$162*EFEITO!$Y$62</f>
        <v>0</v>
      </c>
      <c r="K162" s="55">
        <f ca="1">EFEITO!$L$162*EFEITO!$Z$62</f>
        <v>118443.45407037174</v>
      </c>
      <c r="L162" s="55">
        <f>EFEITO!$N$162*EFEITO!$AA$62</f>
        <v>84369.051547021416</v>
      </c>
      <c r="M162" s="55">
        <f>$J$162-EFEITO!$K$162*EFEITO!$Y$162</f>
        <v>0</v>
      </c>
      <c r="N162" s="55">
        <f ca="1">$K$162-EFEITO!$M$162*EFEITO!$Z$162</f>
        <v>7106.6072442223085</v>
      </c>
      <c r="O162" s="55">
        <f>$L$162-EFEITO!$O$162*EFEITO!$AA$162</f>
        <v>5062.1430928212794</v>
      </c>
      <c r="P162" s="39"/>
      <c r="Q162" s="39"/>
      <c r="R162" s="39"/>
      <c r="S162" s="39"/>
      <c r="T162" s="39"/>
      <c r="U162" s="39"/>
      <c r="V162" s="39"/>
      <c r="W162" s="39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1.25" customHeight="1" x14ac:dyDescent="0.2">
      <c r="A163" s="35" t="s">
        <v>41</v>
      </c>
      <c r="B163" s="35" t="s">
        <v>39</v>
      </c>
      <c r="C163" s="35" t="s">
        <v>23</v>
      </c>
      <c r="D163" s="35" t="s">
        <v>40</v>
      </c>
      <c r="E163" s="35" t="s">
        <v>25</v>
      </c>
      <c r="F163" s="35" t="s">
        <v>25</v>
      </c>
      <c r="G163" s="35" t="s">
        <v>25</v>
      </c>
      <c r="H163" s="35" t="s">
        <v>25</v>
      </c>
      <c r="I163" s="54">
        <v>44743</v>
      </c>
      <c r="J163" s="55">
        <f>EFEITO!$J$163*EFEITO!$Y$62</f>
        <v>0</v>
      </c>
      <c r="K163" s="55">
        <f ca="1">EFEITO!$L$163*EFEITO!$Z$62</f>
        <v>20250.440782589685</v>
      </c>
      <c r="L163" s="55">
        <f>EFEITO!$N$163*EFEITO!$AA$62</f>
        <v>14424.69316388834</v>
      </c>
      <c r="M163" s="55">
        <f>$J$163-EFEITO!$K$163*EFEITO!$Y$163</f>
        <v>0</v>
      </c>
      <c r="N163" s="55">
        <f ca="1">$K$163-EFEITO!$M$163*EFEITO!$Z$163</f>
        <v>1215.026446955384</v>
      </c>
      <c r="O163" s="55">
        <f>$L$163-EFEITO!$O$163*EFEITO!$AA$163</f>
        <v>865.48158983329995</v>
      </c>
      <c r="P163" s="39"/>
      <c r="Q163" s="39"/>
      <c r="R163" s="39"/>
      <c r="S163" s="39"/>
      <c r="T163" s="39"/>
      <c r="U163" s="39"/>
      <c r="V163" s="39"/>
      <c r="W163" s="39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1.25" customHeight="1" x14ac:dyDescent="0.2">
      <c r="A164" s="35" t="s">
        <v>21</v>
      </c>
      <c r="B164" s="35" t="s">
        <v>39</v>
      </c>
      <c r="C164" s="35" t="s">
        <v>23</v>
      </c>
      <c r="D164" s="35" t="s">
        <v>40</v>
      </c>
      <c r="E164" s="35" t="s">
        <v>25</v>
      </c>
      <c r="F164" s="35" t="s">
        <v>25</v>
      </c>
      <c r="G164" s="35" t="s">
        <v>25</v>
      </c>
      <c r="H164" s="35" t="s">
        <v>25</v>
      </c>
      <c r="I164" s="54">
        <v>44774</v>
      </c>
      <c r="J164" s="55">
        <f>EFEITO!$J$164*EFEITO!$Y$62</f>
        <v>0</v>
      </c>
      <c r="K164" s="55">
        <f ca="1">EFEITO!$L$164*EFEITO!$Z$62</f>
        <v>135039.99134290271</v>
      </c>
      <c r="L164" s="55">
        <f>EFEITO!$N$164*EFEITO!$AA$62</f>
        <v>96191.01435314065</v>
      </c>
      <c r="M164" s="55">
        <f>$J$164-EFEITO!$K$164*EFEITO!$Y$164</f>
        <v>0</v>
      </c>
      <c r="N164" s="55">
        <f ca="1">$K$164-EFEITO!$M$164*EFEITO!$Z$164</f>
        <v>8102.3994805741968</v>
      </c>
      <c r="O164" s="55">
        <f>$L$164-EFEITO!$O$164*EFEITO!$AA$164</f>
        <v>5771.4608611884323</v>
      </c>
      <c r="P164" s="39"/>
      <c r="Q164" s="39"/>
      <c r="R164" s="39"/>
      <c r="S164" s="39"/>
      <c r="T164" s="39"/>
      <c r="U164" s="39"/>
      <c r="V164" s="39"/>
      <c r="W164" s="39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1.25" customHeight="1" x14ac:dyDescent="0.2">
      <c r="A165" s="35" t="s">
        <v>41</v>
      </c>
      <c r="B165" s="35" t="s">
        <v>39</v>
      </c>
      <c r="C165" s="35" t="s">
        <v>23</v>
      </c>
      <c r="D165" s="35" t="s">
        <v>40</v>
      </c>
      <c r="E165" s="35" t="s">
        <v>25</v>
      </c>
      <c r="F165" s="35" t="s">
        <v>25</v>
      </c>
      <c r="G165" s="35" t="s">
        <v>25</v>
      </c>
      <c r="H165" s="35" t="s">
        <v>25</v>
      </c>
      <c r="I165" s="54">
        <v>44774</v>
      </c>
      <c r="J165" s="55">
        <f>EFEITO!$J$165*EFEITO!$Y$62</f>
        <v>0</v>
      </c>
      <c r="K165" s="55">
        <f ca="1">EFEITO!$L$165*EFEITO!$Z$62</f>
        <v>9493.6103980989192</v>
      </c>
      <c r="L165" s="55">
        <f>EFEITO!$N$165*EFEITO!$AA$62</f>
        <v>6762.4412959846768</v>
      </c>
      <c r="M165" s="55">
        <f>$J$165-EFEITO!$K$165*EFEITO!$Y$165</f>
        <v>0</v>
      </c>
      <c r="N165" s="55">
        <f ca="1">$K$165-EFEITO!$M$165*EFEITO!$Z$165</f>
        <v>569.61662388593686</v>
      </c>
      <c r="O165" s="55">
        <f>$L$165-EFEITO!$O$165*EFEITO!$AA$165</f>
        <v>405.74647775908124</v>
      </c>
      <c r="P165" s="39"/>
      <c r="Q165" s="39"/>
      <c r="R165" s="39"/>
      <c r="S165" s="39"/>
      <c r="T165" s="39"/>
      <c r="U165" s="39"/>
      <c r="V165" s="39"/>
      <c r="W165" s="39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1.25" customHeight="1" x14ac:dyDescent="0.2">
      <c r="A166" s="35" t="s">
        <v>21</v>
      </c>
      <c r="B166" s="35" t="s">
        <v>31</v>
      </c>
      <c r="C166" s="35" t="s">
        <v>23</v>
      </c>
      <c r="D166" s="35" t="s">
        <v>38</v>
      </c>
      <c r="E166" s="35" t="s">
        <v>25</v>
      </c>
      <c r="F166" s="35" t="s">
        <v>25</v>
      </c>
      <c r="G166" s="35" t="s">
        <v>25</v>
      </c>
      <c r="H166" s="35" t="s">
        <v>25</v>
      </c>
      <c r="I166" s="54">
        <v>44440</v>
      </c>
      <c r="J166" s="55">
        <f>EFEITO!$J$166*EFEITO!$Y$166</f>
        <v>0</v>
      </c>
      <c r="K166" s="55">
        <f ca="1">EFEITO!$L$166*EFEITO!$Z$166</f>
        <v>5681.2205747364005</v>
      </c>
      <c r="L166" s="55">
        <f>EFEITO!$N$166*EFEITO!$AA$166</f>
        <v>4046.8187565279241</v>
      </c>
      <c r="M166" s="55">
        <f>$J$166-EFEITO!$K$166*EFEITO!$Y$166</f>
        <v>0</v>
      </c>
      <c r="N166" s="55">
        <f ca="1">$K$166-EFEITO!$M$166*EFEITO!$Z$166</f>
        <v>0</v>
      </c>
      <c r="O166" s="55">
        <f>$L$166-EFEITO!$O$166*EFEITO!$AA$166</f>
        <v>0</v>
      </c>
      <c r="P166" s="39"/>
      <c r="Q166" s="39"/>
      <c r="R166" s="39"/>
      <c r="S166" s="39"/>
      <c r="T166" s="39"/>
      <c r="U166" s="39"/>
      <c r="V166" s="39"/>
      <c r="W166" s="39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1.25" customHeight="1" x14ac:dyDescent="0.2">
      <c r="A167" s="35" t="s">
        <v>21</v>
      </c>
      <c r="B167" s="35" t="s">
        <v>31</v>
      </c>
      <c r="C167" s="35" t="s">
        <v>23</v>
      </c>
      <c r="D167" s="35" t="s">
        <v>38</v>
      </c>
      <c r="E167" s="35" t="s">
        <v>25</v>
      </c>
      <c r="F167" s="35" t="s">
        <v>25</v>
      </c>
      <c r="G167" s="35" t="s">
        <v>25</v>
      </c>
      <c r="H167" s="35" t="s">
        <v>25</v>
      </c>
      <c r="I167" s="54">
        <v>44470</v>
      </c>
      <c r="J167" s="55">
        <f>EFEITO!$J$167*EFEITO!$Y$167</f>
        <v>0</v>
      </c>
      <c r="K167" s="55">
        <f ca="1">EFEITO!$L$167*EFEITO!$Z$167</f>
        <v>5519.9319494095653</v>
      </c>
      <c r="L167" s="55">
        <f>EFEITO!$N$167*EFEITO!$AA$167</f>
        <v>3931.9304458909928</v>
      </c>
      <c r="M167" s="55">
        <f>$J$167-EFEITO!$K$167*EFEITO!$Y$167</f>
        <v>0</v>
      </c>
      <c r="N167" s="55">
        <f ca="1">$K$167-EFEITO!$M$167*EFEITO!$Z$167</f>
        <v>0</v>
      </c>
      <c r="O167" s="55">
        <f>$L$167-EFEITO!$O$167*EFEITO!$AA$167</f>
        <v>0</v>
      </c>
      <c r="P167" s="39"/>
      <c r="Q167" s="39"/>
      <c r="R167" s="39"/>
      <c r="S167" s="39"/>
      <c r="T167" s="39"/>
      <c r="U167" s="39"/>
      <c r="V167" s="39"/>
      <c r="W167" s="39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1.25" customHeight="1" x14ac:dyDescent="0.2">
      <c r="A168" s="35" t="s">
        <v>21</v>
      </c>
      <c r="B168" s="35" t="s">
        <v>31</v>
      </c>
      <c r="C168" s="35" t="s">
        <v>23</v>
      </c>
      <c r="D168" s="35" t="s">
        <v>38</v>
      </c>
      <c r="E168" s="35" t="s">
        <v>25</v>
      </c>
      <c r="F168" s="35" t="s">
        <v>25</v>
      </c>
      <c r="G168" s="35" t="s">
        <v>25</v>
      </c>
      <c r="H168" s="35" t="s">
        <v>25</v>
      </c>
      <c r="I168" s="54">
        <v>44501</v>
      </c>
      <c r="J168" s="55">
        <f>EFEITO!$J$168*EFEITO!$Y$168</f>
        <v>0</v>
      </c>
      <c r="K168" s="55">
        <f ca="1">EFEITO!$L$168*EFEITO!$Z$168</f>
        <v>9254.4797721317173</v>
      </c>
      <c r="L168" s="55">
        <f>EFEITO!$N$168*EFEITO!$AA$168</f>
        <v>6592.1049589785698</v>
      </c>
      <c r="M168" s="55">
        <f>$J$168-EFEITO!$K$168*EFEITO!$Y$168</f>
        <v>0</v>
      </c>
      <c r="N168" s="55">
        <f ca="1">$K$168-EFEITO!$M$168*EFEITO!$Z$168</f>
        <v>0</v>
      </c>
      <c r="O168" s="55">
        <f>$L$168-EFEITO!$O$168*EFEITO!$AA$168</f>
        <v>0</v>
      </c>
      <c r="P168" s="39"/>
      <c r="Q168" s="39"/>
      <c r="R168" s="39"/>
      <c r="S168" s="39"/>
      <c r="T168" s="39"/>
      <c r="U168" s="39"/>
      <c r="V168" s="39"/>
      <c r="W168" s="39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1.25" customHeight="1" x14ac:dyDescent="0.2">
      <c r="A169" s="35" t="s">
        <v>21</v>
      </c>
      <c r="B169" s="35" t="s">
        <v>31</v>
      </c>
      <c r="C169" s="35" t="s">
        <v>23</v>
      </c>
      <c r="D169" s="35" t="s">
        <v>38</v>
      </c>
      <c r="E169" s="35" t="s">
        <v>25</v>
      </c>
      <c r="F169" s="35" t="s">
        <v>25</v>
      </c>
      <c r="G169" s="35" t="s">
        <v>25</v>
      </c>
      <c r="H169" s="35" t="s">
        <v>25</v>
      </c>
      <c r="I169" s="54">
        <v>44531</v>
      </c>
      <c r="J169" s="55">
        <f>EFEITO!$J$169*EFEITO!$Y$169</f>
        <v>0</v>
      </c>
      <c r="K169" s="55">
        <f ca="1">EFEITO!$L$169*EFEITO!$Z$169</f>
        <v>9377.4701331434953</v>
      </c>
      <c r="L169" s="55">
        <f>EFEITO!$N$169*EFEITO!$AA$169</f>
        <v>6679.7128406418669</v>
      </c>
      <c r="M169" s="55">
        <f>$J$169-EFEITO!$K$169*EFEITO!$Y$169</f>
        <v>0</v>
      </c>
      <c r="N169" s="55">
        <f ca="1">$K$169-EFEITO!$M$169*EFEITO!$Z$169</f>
        <v>0</v>
      </c>
      <c r="O169" s="55">
        <f>$L$169-EFEITO!$O$169*EFEITO!$AA$169</f>
        <v>0</v>
      </c>
      <c r="P169" s="39"/>
      <c r="Q169" s="39"/>
      <c r="R169" s="39"/>
      <c r="S169" s="39"/>
      <c r="T169" s="39"/>
      <c r="U169" s="39"/>
      <c r="V169" s="39"/>
      <c r="W169" s="39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1.25" customHeight="1" x14ac:dyDescent="0.2">
      <c r="A170" s="35" t="s">
        <v>21</v>
      </c>
      <c r="B170" s="35" t="s">
        <v>31</v>
      </c>
      <c r="C170" s="35" t="s">
        <v>23</v>
      </c>
      <c r="D170" s="35" t="s">
        <v>38</v>
      </c>
      <c r="E170" s="35" t="s">
        <v>25</v>
      </c>
      <c r="F170" s="35" t="s">
        <v>25</v>
      </c>
      <c r="G170" s="35" t="s">
        <v>25</v>
      </c>
      <c r="H170" s="35" t="s">
        <v>25</v>
      </c>
      <c r="I170" s="54">
        <v>44562</v>
      </c>
      <c r="J170" s="55">
        <f>EFEITO!$J$170*EFEITO!$Y$170</f>
        <v>0</v>
      </c>
      <c r="K170" s="55">
        <f ca="1">EFEITO!$L$170*EFEITO!$Z$170</f>
        <v>9843.2766649754394</v>
      </c>
      <c r="L170" s="55">
        <f>EFEITO!$N$170*EFEITO!$AA$170</f>
        <v>7011.5138304350148</v>
      </c>
      <c r="M170" s="55">
        <f>$J$170-EFEITO!$K$170*EFEITO!$Y$170</f>
        <v>0</v>
      </c>
      <c r="N170" s="55">
        <f ca="1">$K$170-EFEITO!$M$170*EFEITO!$Z$170</f>
        <v>0</v>
      </c>
      <c r="O170" s="55">
        <f>$L$170-EFEITO!$O$170*EFEITO!$AA$170</f>
        <v>0</v>
      </c>
      <c r="P170" s="39"/>
      <c r="Q170" s="39"/>
      <c r="R170" s="39"/>
      <c r="S170" s="39"/>
      <c r="T170" s="39"/>
      <c r="U170" s="39"/>
      <c r="V170" s="39"/>
      <c r="W170" s="39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1.25" customHeight="1" x14ac:dyDescent="0.2">
      <c r="A171" s="35" t="s">
        <v>21</v>
      </c>
      <c r="B171" s="35" t="s">
        <v>31</v>
      </c>
      <c r="C171" s="35" t="s">
        <v>23</v>
      </c>
      <c r="D171" s="35" t="s">
        <v>38</v>
      </c>
      <c r="E171" s="35" t="s">
        <v>25</v>
      </c>
      <c r="F171" s="35" t="s">
        <v>25</v>
      </c>
      <c r="G171" s="35" t="s">
        <v>25</v>
      </c>
      <c r="H171" s="35" t="s">
        <v>25</v>
      </c>
      <c r="I171" s="54">
        <v>44593</v>
      </c>
      <c r="J171" s="55">
        <f>EFEITO!$J$171*EFEITO!$Y$171</f>
        <v>0</v>
      </c>
      <c r="K171" s="55">
        <f ca="1">EFEITO!$L$171*EFEITO!$Z$171</f>
        <v>9083.2273707229142</v>
      </c>
      <c r="L171" s="55">
        <f>EFEITO!$N$171*EFEITO!$AA$171</f>
        <v>6470.119300966383</v>
      </c>
      <c r="M171" s="55">
        <f>$J$171-EFEITO!$K$171*EFEITO!$Y$171</f>
        <v>0</v>
      </c>
      <c r="N171" s="55">
        <f ca="1">$K$171-EFEITO!$M$171*EFEITO!$Z$171</f>
        <v>0</v>
      </c>
      <c r="O171" s="55">
        <f>$L$171-EFEITO!$O$171*EFEITO!$AA$171</f>
        <v>0</v>
      </c>
      <c r="P171" s="39"/>
      <c r="Q171" s="39"/>
      <c r="R171" s="39"/>
      <c r="S171" s="39"/>
      <c r="T171" s="39"/>
      <c r="U171" s="39"/>
      <c r="V171" s="39"/>
      <c r="W171" s="39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1.25" customHeight="1" x14ac:dyDescent="0.2">
      <c r="A172" s="35" t="s">
        <v>21</v>
      </c>
      <c r="B172" s="35" t="s">
        <v>31</v>
      </c>
      <c r="C172" s="35" t="s">
        <v>23</v>
      </c>
      <c r="D172" s="35" t="s">
        <v>38</v>
      </c>
      <c r="E172" s="35" t="s">
        <v>25</v>
      </c>
      <c r="F172" s="35" t="s">
        <v>25</v>
      </c>
      <c r="G172" s="35" t="s">
        <v>25</v>
      </c>
      <c r="H172" s="35" t="s">
        <v>25</v>
      </c>
      <c r="I172" s="54">
        <v>44621</v>
      </c>
      <c r="J172" s="55">
        <f>EFEITO!$J$172*EFEITO!$Y$172</f>
        <v>0</v>
      </c>
      <c r="K172" s="55">
        <f ca="1">EFEITO!$L$172*EFEITO!$Z$172</f>
        <v>7787.3137440621176</v>
      </c>
      <c r="L172" s="55">
        <f>EFEITO!$N$172*EFEITO!$AA$172</f>
        <v>5547.0205579723442</v>
      </c>
      <c r="M172" s="55">
        <f>$J$172-EFEITO!$K$172*EFEITO!$Y$172</f>
        <v>0</v>
      </c>
      <c r="N172" s="55">
        <f ca="1">$K$172-EFEITO!$M$172*EFEITO!$Z$172</f>
        <v>0</v>
      </c>
      <c r="O172" s="55">
        <f>$L$172-EFEITO!$O$172*EFEITO!$AA$172</f>
        <v>0</v>
      </c>
      <c r="P172" s="39"/>
      <c r="Q172" s="39"/>
      <c r="R172" s="39"/>
      <c r="S172" s="39"/>
      <c r="T172" s="39"/>
      <c r="U172" s="39"/>
      <c r="V172" s="39"/>
      <c r="W172" s="39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1.25" customHeight="1" x14ac:dyDescent="0.2">
      <c r="A173" s="35" t="s">
        <v>21</v>
      </c>
      <c r="B173" s="35" t="s">
        <v>31</v>
      </c>
      <c r="C173" s="35" t="s">
        <v>23</v>
      </c>
      <c r="D173" s="35" t="s">
        <v>38</v>
      </c>
      <c r="E173" s="35" t="s">
        <v>25</v>
      </c>
      <c r="F173" s="35" t="s">
        <v>25</v>
      </c>
      <c r="G173" s="35" t="s">
        <v>25</v>
      </c>
      <c r="H173" s="35" t="s">
        <v>25</v>
      </c>
      <c r="I173" s="54">
        <v>44652</v>
      </c>
      <c r="J173" s="55">
        <f>EFEITO!$J$173*EFEITO!$Y$173</f>
        <v>0</v>
      </c>
      <c r="K173" s="55">
        <f ca="1">EFEITO!$L$173*EFEITO!$Z$173</f>
        <v>7128.1476826395065</v>
      </c>
      <c r="L173" s="55">
        <f>EFEITO!$N$173*EFEITO!$AA$173</f>
        <v>5077.486670678164</v>
      </c>
      <c r="M173" s="55">
        <f>$J$173-EFEITO!$K$173*EFEITO!$Y$173</f>
        <v>0</v>
      </c>
      <c r="N173" s="55">
        <f ca="1">$K$173-EFEITO!$M$173*EFEITO!$Z$173</f>
        <v>0</v>
      </c>
      <c r="O173" s="55">
        <f>$L$173-EFEITO!$O$173*EFEITO!$AA$173</f>
        <v>0</v>
      </c>
      <c r="P173" s="39"/>
      <c r="Q173" s="39"/>
      <c r="R173" s="39"/>
      <c r="S173" s="39"/>
      <c r="T173" s="39"/>
      <c r="U173" s="39"/>
      <c r="V173" s="39"/>
      <c r="W173" s="39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1.25" customHeight="1" x14ac:dyDescent="0.2">
      <c r="A174" s="35" t="s">
        <v>21</v>
      </c>
      <c r="B174" s="35" t="s">
        <v>31</v>
      </c>
      <c r="C174" s="35" t="s">
        <v>23</v>
      </c>
      <c r="D174" s="35" t="s">
        <v>38</v>
      </c>
      <c r="E174" s="35" t="s">
        <v>25</v>
      </c>
      <c r="F174" s="35" t="s">
        <v>25</v>
      </c>
      <c r="G174" s="35" t="s">
        <v>25</v>
      </c>
      <c r="H174" s="35" t="s">
        <v>25</v>
      </c>
      <c r="I174" s="54">
        <v>44682</v>
      </c>
      <c r="J174" s="55">
        <f>EFEITO!$J$174*EFEITO!$Y$174</f>
        <v>0</v>
      </c>
      <c r="K174" s="55">
        <f ca="1">EFEITO!$L$174*EFEITO!$Z$174</f>
        <v>7147.7638668008785</v>
      </c>
      <c r="L174" s="55">
        <f>EFEITO!$N$174*EFEITO!$AA$174</f>
        <v>5091.4595733231963</v>
      </c>
      <c r="M174" s="55">
        <f>$J$174-EFEITO!$K$174*EFEITO!$Y$174</f>
        <v>0</v>
      </c>
      <c r="N174" s="55">
        <f ca="1">$K$174-EFEITO!$M$174*EFEITO!$Z$174</f>
        <v>0</v>
      </c>
      <c r="O174" s="55">
        <f>$L$174-EFEITO!$O$174*EFEITO!$AA$174</f>
        <v>0</v>
      </c>
      <c r="P174" s="39"/>
      <c r="Q174" s="39"/>
      <c r="R174" s="39"/>
      <c r="S174" s="39"/>
      <c r="T174" s="39"/>
      <c r="U174" s="39"/>
      <c r="V174" s="39"/>
      <c r="W174" s="39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1.25" customHeight="1" x14ac:dyDescent="0.2">
      <c r="A175" s="35" t="s">
        <v>21</v>
      </c>
      <c r="B175" s="35" t="s">
        <v>31</v>
      </c>
      <c r="C175" s="35" t="s">
        <v>23</v>
      </c>
      <c r="D175" s="35" t="s">
        <v>38</v>
      </c>
      <c r="E175" s="35" t="s">
        <v>25</v>
      </c>
      <c r="F175" s="35" t="s">
        <v>25</v>
      </c>
      <c r="G175" s="35" t="s">
        <v>25</v>
      </c>
      <c r="H175" s="35" t="s">
        <v>25</v>
      </c>
      <c r="I175" s="54">
        <v>44713</v>
      </c>
      <c r="J175" s="55">
        <f>EFEITO!$J$175*EFEITO!$Y$175</f>
        <v>0</v>
      </c>
      <c r="K175" s="55">
        <f ca="1">EFEITO!$L$175*EFEITO!$Z$175</f>
        <v>6388.6486765560385</v>
      </c>
      <c r="L175" s="55">
        <f>EFEITO!$N$175*EFEITO!$AA$175</f>
        <v>4550.730420170994</v>
      </c>
      <c r="M175" s="55">
        <f>$J$175-EFEITO!$K$175*EFEITO!$Y$175</f>
        <v>0</v>
      </c>
      <c r="N175" s="55">
        <f ca="1">$K$175-EFEITO!$M$175*EFEITO!$Z$175</f>
        <v>0</v>
      </c>
      <c r="O175" s="55">
        <f>$L$175-EFEITO!$O$175*EFEITO!$AA$175</f>
        <v>0</v>
      </c>
      <c r="P175" s="39"/>
      <c r="Q175" s="39"/>
      <c r="R175" s="39"/>
      <c r="S175" s="39"/>
      <c r="T175" s="39"/>
      <c r="U175" s="39"/>
      <c r="V175" s="39"/>
      <c r="W175" s="39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1.25" customHeight="1" x14ac:dyDescent="0.2">
      <c r="A176" s="35" t="s">
        <v>21</v>
      </c>
      <c r="B176" s="35" t="s">
        <v>31</v>
      </c>
      <c r="C176" s="35" t="s">
        <v>23</v>
      </c>
      <c r="D176" s="35" t="s">
        <v>38</v>
      </c>
      <c r="E176" s="35" t="s">
        <v>25</v>
      </c>
      <c r="F176" s="35" t="s">
        <v>25</v>
      </c>
      <c r="G176" s="35" t="s">
        <v>25</v>
      </c>
      <c r="H176" s="35" t="s">
        <v>25</v>
      </c>
      <c r="I176" s="54">
        <v>44743</v>
      </c>
      <c r="J176" s="55">
        <f>EFEITO!$J$176*EFEITO!$Y$176</f>
        <v>0</v>
      </c>
      <c r="K176" s="55">
        <f ca="1">EFEITO!$L$176*EFEITO!$Z$176</f>
        <v>6060.4668018562588</v>
      </c>
      <c r="L176" s="55">
        <f>EFEITO!$N$176*EFEITO!$AA$176</f>
        <v>4316.9615409985481</v>
      </c>
      <c r="M176" s="55">
        <f>$J$176-EFEITO!$K$176*EFEITO!$Y$176</f>
        <v>0</v>
      </c>
      <c r="N176" s="55">
        <f ca="1">$K$176-EFEITO!$M$176*EFEITO!$Z$176</f>
        <v>0</v>
      </c>
      <c r="O176" s="55">
        <f>$L$176-EFEITO!$O$176*EFEITO!$AA$176</f>
        <v>0</v>
      </c>
      <c r="P176" s="39"/>
      <c r="Q176" s="39"/>
      <c r="R176" s="39"/>
      <c r="S176" s="39"/>
      <c r="T176" s="39"/>
      <c r="U176" s="39"/>
      <c r="V176" s="39"/>
      <c r="W176" s="39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1.25" customHeight="1" x14ac:dyDescent="0.2">
      <c r="A177" s="35" t="s">
        <v>21</v>
      </c>
      <c r="B177" s="35" t="s">
        <v>31</v>
      </c>
      <c r="C177" s="35" t="s">
        <v>23</v>
      </c>
      <c r="D177" s="35" t="s">
        <v>38</v>
      </c>
      <c r="E177" s="35" t="s">
        <v>25</v>
      </c>
      <c r="F177" s="35" t="s">
        <v>25</v>
      </c>
      <c r="G177" s="35" t="s">
        <v>25</v>
      </c>
      <c r="H177" s="35" t="s">
        <v>25</v>
      </c>
      <c r="I177" s="54">
        <v>44774</v>
      </c>
      <c r="J177" s="55">
        <f>EFEITO!$J$177*EFEITO!$Y$177</f>
        <v>0</v>
      </c>
      <c r="K177" s="55">
        <f ca="1">EFEITO!$L$177*EFEITO!$Z$177</f>
        <v>6681.334598963811</v>
      </c>
      <c r="L177" s="55">
        <f>EFEITO!$N$177*EFEITO!$AA$177</f>
        <v>4759.2149993190942</v>
      </c>
      <c r="M177" s="55">
        <f>$J$177-EFEITO!$K$177*EFEITO!$Y$177</f>
        <v>0</v>
      </c>
      <c r="N177" s="55">
        <f ca="1">$K$177-EFEITO!$M$177*EFEITO!$Z$177</f>
        <v>0</v>
      </c>
      <c r="O177" s="55">
        <f>$L$177-EFEITO!$O$177*EFEITO!$AA$177</f>
        <v>0</v>
      </c>
      <c r="P177" s="39"/>
      <c r="Q177" s="39"/>
      <c r="R177" s="39"/>
      <c r="S177" s="39"/>
      <c r="T177" s="39"/>
      <c r="U177" s="39"/>
      <c r="V177" s="39"/>
      <c r="W177" s="39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1.25" customHeight="1" x14ac:dyDescent="0.2">
      <c r="A178" s="35" t="s">
        <v>21</v>
      </c>
      <c r="B178" s="35" t="s">
        <v>31</v>
      </c>
      <c r="C178" s="35" t="s">
        <v>23</v>
      </c>
      <c r="D178" s="35" t="s">
        <v>32</v>
      </c>
      <c r="E178" s="35" t="s">
        <v>25</v>
      </c>
      <c r="F178" s="35" t="s">
        <v>25</v>
      </c>
      <c r="G178" s="35" t="s">
        <v>25</v>
      </c>
      <c r="H178" s="35" t="s">
        <v>25</v>
      </c>
      <c r="I178" s="54">
        <v>44440</v>
      </c>
      <c r="J178" s="55">
        <f>EFEITO!$J$178*EFEITO!$Y$178</f>
        <v>0</v>
      </c>
      <c r="K178" s="55">
        <f ca="1">EFEITO!$L$178*EFEITO!$Z$178</f>
        <v>104.6196488606506</v>
      </c>
      <c r="L178" s="55">
        <f>EFEITO!$N$178*EFEITO!$AA$178</f>
        <v>74.522147440172247</v>
      </c>
      <c r="M178" s="55">
        <f>$J$178-EFEITO!$K$178*EFEITO!$Y$178</f>
        <v>0</v>
      </c>
      <c r="N178" s="55">
        <f ca="1">$K$178-EFEITO!$M$178*EFEITO!$Z$178</f>
        <v>0</v>
      </c>
      <c r="O178" s="55">
        <f>$L$178-EFEITO!$O$178*EFEITO!$AA$178</f>
        <v>0</v>
      </c>
      <c r="P178" s="39"/>
      <c r="Q178" s="39"/>
      <c r="R178" s="39"/>
      <c r="S178" s="39"/>
      <c r="T178" s="39"/>
      <c r="U178" s="39"/>
      <c r="V178" s="39"/>
      <c r="W178" s="39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1.25" customHeight="1" x14ac:dyDescent="0.2">
      <c r="A179" s="35" t="s">
        <v>21</v>
      </c>
      <c r="B179" s="35" t="s">
        <v>31</v>
      </c>
      <c r="C179" s="35" t="s">
        <v>23</v>
      </c>
      <c r="D179" s="35" t="s">
        <v>32</v>
      </c>
      <c r="E179" s="35" t="s">
        <v>25</v>
      </c>
      <c r="F179" s="35" t="s">
        <v>25</v>
      </c>
      <c r="G179" s="35" t="s">
        <v>25</v>
      </c>
      <c r="H179" s="35" t="s">
        <v>25</v>
      </c>
      <c r="I179" s="54">
        <v>44470</v>
      </c>
      <c r="J179" s="55">
        <f>EFEITO!$J$179*EFEITO!$Y$179</f>
        <v>0</v>
      </c>
      <c r="K179" s="55">
        <f ca="1">EFEITO!$L$179*EFEITO!$Z$179</f>
        <v>112.71521692724856</v>
      </c>
      <c r="L179" s="55">
        <f>EFEITO!$N$179*EFEITO!$AA$179</f>
        <v>80.288742182566509</v>
      </c>
      <c r="M179" s="55">
        <f>$J$179-EFEITO!$K$179*EFEITO!$Y$179</f>
        <v>0</v>
      </c>
      <c r="N179" s="55">
        <f ca="1">$K$179-EFEITO!$M$179*EFEITO!$Z$179</f>
        <v>0</v>
      </c>
      <c r="O179" s="55">
        <f>$L$179-EFEITO!$O$179*EFEITO!$AA$179</f>
        <v>0</v>
      </c>
      <c r="P179" s="39"/>
      <c r="Q179" s="39"/>
      <c r="R179" s="39"/>
      <c r="S179" s="39"/>
      <c r="T179" s="39"/>
      <c r="U179" s="39"/>
      <c r="V179" s="39"/>
      <c r="W179" s="39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1.25" customHeight="1" x14ac:dyDescent="0.2">
      <c r="A180" s="35" t="s">
        <v>21</v>
      </c>
      <c r="B180" s="35" t="s">
        <v>31</v>
      </c>
      <c r="C180" s="35" t="s">
        <v>23</v>
      </c>
      <c r="D180" s="35" t="s">
        <v>32</v>
      </c>
      <c r="E180" s="35" t="s">
        <v>25</v>
      </c>
      <c r="F180" s="35" t="s">
        <v>25</v>
      </c>
      <c r="G180" s="35" t="s">
        <v>25</v>
      </c>
      <c r="H180" s="35" t="s">
        <v>25</v>
      </c>
      <c r="I180" s="54">
        <v>44501</v>
      </c>
      <c r="J180" s="55">
        <f>EFEITO!$J$180*EFEITO!$Y$180</f>
        <v>0</v>
      </c>
      <c r="K180" s="55">
        <f ca="1">EFEITO!$L$180*EFEITO!$Z$180</f>
        <v>130.77456107581324</v>
      </c>
      <c r="L180" s="55">
        <f>EFEITO!$N$180*EFEITO!$AA$180</f>
        <v>93.152684300215299</v>
      </c>
      <c r="M180" s="55">
        <f>$J$180-EFEITO!$K$180*EFEITO!$Y$180</f>
        <v>0</v>
      </c>
      <c r="N180" s="55">
        <f ca="1">$K$180-EFEITO!$M$180*EFEITO!$Z$180</f>
        <v>0</v>
      </c>
      <c r="O180" s="55">
        <f>$L$180-EFEITO!$O$180*EFEITO!$AA$180</f>
        <v>0</v>
      </c>
      <c r="P180" s="39"/>
      <c r="Q180" s="39"/>
      <c r="R180" s="39"/>
      <c r="S180" s="39"/>
      <c r="T180" s="39"/>
      <c r="U180" s="39"/>
      <c r="V180" s="39"/>
      <c r="W180" s="39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1.25" customHeight="1" x14ac:dyDescent="0.2">
      <c r="A181" s="35" t="s">
        <v>21</v>
      </c>
      <c r="B181" s="35" t="s">
        <v>31</v>
      </c>
      <c r="C181" s="35" t="s">
        <v>23</v>
      </c>
      <c r="D181" s="35" t="s">
        <v>32</v>
      </c>
      <c r="E181" s="35" t="s">
        <v>25</v>
      </c>
      <c r="F181" s="35" t="s">
        <v>25</v>
      </c>
      <c r="G181" s="35" t="s">
        <v>25</v>
      </c>
      <c r="H181" s="35" t="s">
        <v>25</v>
      </c>
      <c r="I181" s="54">
        <v>44531</v>
      </c>
      <c r="J181" s="55">
        <f>EFEITO!$J$181*EFEITO!$Y$181</f>
        <v>0</v>
      </c>
      <c r="K181" s="55">
        <f ca="1">EFEITO!$L$181*EFEITO!$Z$181</f>
        <v>124.85856902714552</v>
      </c>
      <c r="L181" s="55">
        <f>EFEITO!$N$181*EFEITO!$AA$181</f>
        <v>88.938634296157943</v>
      </c>
      <c r="M181" s="55">
        <f>$J$181-EFEITO!$K$181*EFEITO!$Y$181</f>
        <v>0</v>
      </c>
      <c r="N181" s="55">
        <f ca="1">$K$181-EFEITO!$M$181*EFEITO!$Z$181</f>
        <v>0</v>
      </c>
      <c r="O181" s="55">
        <f>$L$181-EFEITO!$O$181*EFEITO!$AA$181</f>
        <v>0</v>
      </c>
      <c r="P181" s="39"/>
      <c r="Q181" s="39"/>
      <c r="R181" s="39"/>
      <c r="S181" s="39"/>
      <c r="T181" s="39"/>
      <c r="U181" s="39"/>
      <c r="V181" s="39"/>
      <c r="W181" s="39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11.25" customHeight="1" x14ac:dyDescent="0.2">
      <c r="A182" s="35" t="s">
        <v>21</v>
      </c>
      <c r="B182" s="35" t="s">
        <v>31</v>
      </c>
      <c r="C182" s="35" t="s">
        <v>23</v>
      </c>
      <c r="D182" s="35" t="s">
        <v>32</v>
      </c>
      <c r="E182" s="35" t="s">
        <v>25</v>
      </c>
      <c r="F182" s="35" t="s">
        <v>25</v>
      </c>
      <c r="G182" s="35" t="s">
        <v>25</v>
      </c>
      <c r="H182" s="35" t="s">
        <v>25</v>
      </c>
      <c r="I182" s="54">
        <v>44562</v>
      </c>
      <c r="J182" s="55">
        <f>EFEITO!$J$182*EFEITO!$Y$182</f>
        <v>0</v>
      </c>
      <c r="K182" s="55">
        <f ca="1">EFEITO!$L$182*EFEITO!$Z$182</f>
        <v>733.89438203736154</v>
      </c>
      <c r="L182" s="55">
        <f>EFEITO!$N$182*EFEITO!$AA$182</f>
        <v>522.76399260858921</v>
      </c>
      <c r="M182" s="55">
        <f>$J$182-EFEITO!$K$182*EFEITO!$Y$182</f>
        <v>0</v>
      </c>
      <c r="N182" s="55">
        <f ca="1">$K$182-EFEITO!$M$182*EFEITO!$Z$182</f>
        <v>0</v>
      </c>
      <c r="O182" s="55">
        <f>$L$182-EFEITO!$O$182*EFEITO!$AA$182</f>
        <v>0</v>
      </c>
      <c r="P182" s="39"/>
      <c r="Q182" s="39"/>
      <c r="R182" s="39"/>
      <c r="S182" s="39"/>
      <c r="T182" s="39"/>
      <c r="U182" s="39"/>
      <c r="V182" s="39"/>
      <c r="W182" s="39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11.25" customHeight="1" x14ac:dyDescent="0.2">
      <c r="A183" s="35" t="s">
        <v>21</v>
      </c>
      <c r="B183" s="35" t="s">
        <v>31</v>
      </c>
      <c r="C183" s="35" t="s">
        <v>23</v>
      </c>
      <c r="D183" s="35" t="s">
        <v>32</v>
      </c>
      <c r="E183" s="35" t="s">
        <v>25</v>
      </c>
      <c r="F183" s="35" t="s">
        <v>25</v>
      </c>
      <c r="G183" s="35" t="s">
        <v>25</v>
      </c>
      <c r="H183" s="35" t="s">
        <v>25</v>
      </c>
      <c r="I183" s="54">
        <v>44593</v>
      </c>
      <c r="J183" s="55">
        <f>EFEITO!$J$183*EFEITO!$Y$183</f>
        <v>0</v>
      </c>
      <c r="K183" s="55">
        <f ca="1">EFEITO!$L$183*EFEITO!$Z$183</f>
        <v>388.58726719670221</v>
      </c>
      <c r="L183" s="55">
        <f>EFEITO!$N$183*EFEITO!$AA$183</f>
        <v>276.79654763492545</v>
      </c>
      <c r="M183" s="55">
        <f>$J$183-EFEITO!$K$183*EFEITO!$Y$183</f>
        <v>0</v>
      </c>
      <c r="N183" s="55">
        <f ca="1">$K$183-EFEITO!$M$183*EFEITO!$Z$183</f>
        <v>0</v>
      </c>
      <c r="O183" s="55">
        <f>$L$183-EFEITO!$O$183*EFEITO!$AA$183</f>
        <v>0</v>
      </c>
      <c r="P183" s="39"/>
      <c r="Q183" s="39"/>
      <c r="R183" s="39"/>
      <c r="S183" s="39"/>
      <c r="T183" s="39"/>
      <c r="U183" s="39"/>
      <c r="V183" s="39"/>
      <c r="W183" s="39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11.25" customHeight="1" x14ac:dyDescent="0.2">
      <c r="A184" s="35" t="s">
        <v>21</v>
      </c>
      <c r="B184" s="35" t="s">
        <v>31</v>
      </c>
      <c r="C184" s="35" t="s">
        <v>23</v>
      </c>
      <c r="D184" s="35" t="s">
        <v>32</v>
      </c>
      <c r="E184" s="35" t="s">
        <v>25</v>
      </c>
      <c r="F184" s="35" t="s">
        <v>25</v>
      </c>
      <c r="G184" s="35" t="s">
        <v>25</v>
      </c>
      <c r="H184" s="35" t="s">
        <v>25</v>
      </c>
      <c r="I184" s="54">
        <v>44621</v>
      </c>
      <c r="J184" s="55">
        <f>EFEITO!$J$184*EFEITO!$Y$184</f>
        <v>0</v>
      </c>
      <c r="K184" s="55">
        <f ca="1">EFEITO!$L$184*EFEITO!$Z$184</f>
        <v>405.40113933502107</v>
      </c>
      <c r="L184" s="55">
        <f>EFEITO!$N$184*EFEITO!$AA$184</f>
        <v>288.77332133066744</v>
      </c>
      <c r="M184" s="55">
        <f>$J$184-EFEITO!$K$184*EFEITO!$Y$184</f>
        <v>0</v>
      </c>
      <c r="N184" s="55">
        <f ca="1">$K$184-EFEITO!$M$184*EFEITO!$Z$184</f>
        <v>0</v>
      </c>
      <c r="O184" s="55">
        <f>$L$184-EFEITO!$O$184*EFEITO!$AA$184</f>
        <v>0</v>
      </c>
      <c r="P184" s="39"/>
      <c r="Q184" s="39"/>
      <c r="R184" s="39"/>
      <c r="S184" s="39"/>
      <c r="T184" s="39"/>
      <c r="U184" s="39"/>
      <c r="V184" s="39"/>
      <c r="W184" s="39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11.25" customHeight="1" x14ac:dyDescent="0.2">
      <c r="A185" s="35" t="s">
        <v>21</v>
      </c>
      <c r="B185" s="35" t="s">
        <v>31</v>
      </c>
      <c r="C185" s="35" t="s">
        <v>23</v>
      </c>
      <c r="D185" s="35" t="s">
        <v>32</v>
      </c>
      <c r="E185" s="35" t="s">
        <v>25</v>
      </c>
      <c r="F185" s="35" t="s">
        <v>25</v>
      </c>
      <c r="G185" s="35" t="s">
        <v>25</v>
      </c>
      <c r="H185" s="35" t="s">
        <v>25</v>
      </c>
      <c r="I185" s="54">
        <v>44652</v>
      </c>
      <c r="J185" s="55">
        <f>EFEITO!$J$185*EFEITO!$Y$185</f>
        <v>0</v>
      </c>
      <c r="K185" s="55">
        <f ca="1">EFEITO!$L$185*EFEITO!$Z$185</f>
        <v>500.36838011626639</v>
      </c>
      <c r="L185" s="55">
        <f>EFEITO!$N$185*EFEITO!$AA$185</f>
        <v>356.41991350106184</v>
      </c>
      <c r="M185" s="55">
        <f>$J$185-EFEITO!$K$185*EFEITO!$Y$185</f>
        <v>0</v>
      </c>
      <c r="N185" s="55">
        <f ca="1">$K$185-EFEITO!$M$185*EFEITO!$Z$185</f>
        <v>0</v>
      </c>
      <c r="O185" s="55">
        <f>$L$185-EFEITO!$O$185*EFEITO!$AA$185</f>
        <v>0</v>
      </c>
      <c r="P185" s="39"/>
      <c r="Q185" s="39"/>
      <c r="R185" s="39"/>
      <c r="S185" s="39"/>
      <c r="T185" s="39"/>
      <c r="U185" s="39"/>
      <c r="V185" s="39"/>
      <c r="W185" s="39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11.25" customHeight="1" x14ac:dyDescent="0.2">
      <c r="A186" s="35" t="s">
        <v>21</v>
      </c>
      <c r="B186" s="35" t="s">
        <v>31</v>
      </c>
      <c r="C186" s="35" t="s">
        <v>23</v>
      </c>
      <c r="D186" s="35" t="s">
        <v>32</v>
      </c>
      <c r="E186" s="35" t="s">
        <v>25</v>
      </c>
      <c r="F186" s="35" t="s">
        <v>25</v>
      </c>
      <c r="G186" s="35" t="s">
        <v>25</v>
      </c>
      <c r="H186" s="35" t="s">
        <v>25</v>
      </c>
      <c r="I186" s="54">
        <v>44682</v>
      </c>
      <c r="J186" s="55">
        <f>EFEITO!$J$186*EFEITO!$Y$186</f>
        <v>0</v>
      </c>
      <c r="K186" s="55">
        <f ca="1">EFEITO!$L$186*EFEITO!$Z$186</f>
        <v>781.53368642926478</v>
      </c>
      <c r="L186" s="55">
        <f>EFEITO!$N$186*EFEITO!$AA$186</f>
        <v>556.6981847465247</v>
      </c>
      <c r="M186" s="55">
        <f>$J$186-EFEITO!$K$186*EFEITO!$Y$186</f>
        <v>0</v>
      </c>
      <c r="N186" s="55">
        <f ca="1">$K$186-EFEITO!$M$186*EFEITO!$Z$186</f>
        <v>0</v>
      </c>
      <c r="O186" s="55">
        <f>$L$186-EFEITO!$O$186*EFEITO!$AA$186</f>
        <v>0</v>
      </c>
      <c r="P186" s="39"/>
      <c r="Q186" s="39"/>
      <c r="R186" s="39"/>
      <c r="S186" s="39"/>
      <c r="T186" s="39"/>
      <c r="U186" s="39"/>
      <c r="V186" s="39"/>
      <c r="W186" s="39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11.25" customHeight="1" x14ac:dyDescent="0.2">
      <c r="A187" s="35" t="s">
        <v>21</v>
      </c>
      <c r="B187" s="35" t="s">
        <v>31</v>
      </c>
      <c r="C187" s="35" t="s">
        <v>23</v>
      </c>
      <c r="D187" s="35" t="s">
        <v>32</v>
      </c>
      <c r="E187" s="35" t="s">
        <v>25</v>
      </c>
      <c r="F187" s="35" t="s">
        <v>25</v>
      </c>
      <c r="G187" s="35" t="s">
        <v>25</v>
      </c>
      <c r="H187" s="35" t="s">
        <v>25</v>
      </c>
      <c r="I187" s="54">
        <v>44713</v>
      </c>
      <c r="J187" s="55">
        <f>EFEITO!$J$187*EFEITO!$Y$187</f>
        <v>0</v>
      </c>
      <c r="K187" s="55">
        <f ca="1">EFEITO!$L$187*EFEITO!$Z$187</f>
        <v>916.66739954093862</v>
      </c>
      <c r="L187" s="55">
        <f>EFEITO!$N$187*EFEITO!$AA$187</f>
        <v>652.95595852341387</v>
      </c>
      <c r="M187" s="55">
        <f>$J$187-EFEITO!$K$187*EFEITO!$Y$187</f>
        <v>0</v>
      </c>
      <c r="N187" s="55">
        <f ca="1">$K$187-EFEITO!$M$187*EFEITO!$Z$187</f>
        <v>0</v>
      </c>
      <c r="O187" s="55">
        <f>$L$187-EFEITO!$O$187*EFEITO!$AA$187</f>
        <v>0</v>
      </c>
      <c r="P187" s="39"/>
      <c r="Q187" s="39"/>
      <c r="R187" s="39"/>
      <c r="S187" s="39"/>
      <c r="T187" s="39"/>
      <c r="U187" s="39"/>
      <c r="V187" s="39"/>
      <c r="W187" s="39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11.25" customHeight="1" x14ac:dyDescent="0.2">
      <c r="A188" s="35" t="s">
        <v>21</v>
      </c>
      <c r="B188" s="35" t="s">
        <v>31</v>
      </c>
      <c r="C188" s="35" t="s">
        <v>23</v>
      </c>
      <c r="D188" s="35" t="s">
        <v>32</v>
      </c>
      <c r="E188" s="35" t="s">
        <v>25</v>
      </c>
      <c r="F188" s="35" t="s">
        <v>25</v>
      </c>
      <c r="G188" s="35" t="s">
        <v>25</v>
      </c>
      <c r="H188" s="35" t="s">
        <v>25</v>
      </c>
      <c r="I188" s="54">
        <v>44743</v>
      </c>
      <c r="J188" s="55">
        <f>EFEITO!$J$188*EFEITO!$Y$188</f>
        <v>0</v>
      </c>
      <c r="K188" s="55">
        <f ca="1">EFEITO!$L$188*EFEITO!$Z$188</f>
        <v>473.59073189598081</v>
      </c>
      <c r="L188" s="55">
        <f>EFEITO!$N$188*EFEITO!$AA$188</f>
        <v>337.34579243006539</v>
      </c>
      <c r="M188" s="55">
        <f>$J$188-EFEITO!$K$188*EFEITO!$Y$188</f>
        <v>0</v>
      </c>
      <c r="N188" s="55">
        <f ca="1">$K$188-EFEITO!$M$188*EFEITO!$Z$188</f>
        <v>0</v>
      </c>
      <c r="O188" s="55">
        <f>$L$188-EFEITO!$O$188*EFEITO!$AA$188</f>
        <v>0</v>
      </c>
      <c r="P188" s="39"/>
      <c r="Q188" s="39"/>
      <c r="R188" s="39"/>
      <c r="S188" s="39"/>
      <c r="T188" s="39"/>
      <c r="U188" s="39"/>
      <c r="V188" s="39"/>
      <c r="W188" s="39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11.25" customHeight="1" x14ac:dyDescent="0.2">
      <c r="A189" s="35" t="s">
        <v>21</v>
      </c>
      <c r="B189" s="35" t="s">
        <v>31</v>
      </c>
      <c r="C189" s="35" t="s">
        <v>23</v>
      </c>
      <c r="D189" s="35" t="s">
        <v>32</v>
      </c>
      <c r="E189" s="35" t="s">
        <v>25</v>
      </c>
      <c r="F189" s="35" t="s">
        <v>25</v>
      </c>
      <c r="G189" s="35" t="s">
        <v>25</v>
      </c>
      <c r="H189" s="35" t="s">
        <v>25</v>
      </c>
      <c r="I189" s="54">
        <v>44774</v>
      </c>
      <c r="J189" s="55">
        <f>EFEITO!$J$189*EFEITO!$Y$189</f>
        <v>0</v>
      </c>
      <c r="K189" s="55">
        <f ca="1">EFEITO!$L$189*EFEITO!$Z$189</f>
        <v>70.369168578889983</v>
      </c>
      <c r="L189" s="55">
        <f>EFEITO!$N$189*EFEITO!$AA$189</f>
        <v>50.1250158377349</v>
      </c>
      <c r="M189" s="55">
        <f>$J$189-EFEITO!$K$189*EFEITO!$Y$189</f>
        <v>0</v>
      </c>
      <c r="N189" s="55">
        <f ca="1">$K$189-EFEITO!$M$189*EFEITO!$Z$189</f>
        <v>0</v>
      </c>
      <c r="O189" s="55">
        <f>$L$189-EFEITO!$O$189*EFEITO!$AA$189</f>
        <v>0</v>
      </c>
      <c r="P189" s="39"/>
      <c r="Q189" s="39"/>
      <c r="R189" s="39"/>
      <c r="S189" s="39"/>
      <c r="T189" s="39"/>
      <c r="U189" s="39"/>
      <c r="V189" s="39"/>
      <c r="W189" s="39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11.25" customHeight="1" x14ac:dyDescent="0.2">
      <c r="A190" s="35" t="s">
        <v>21</v>
      </c>
      <c r="B190" s="35" t="s">
        <v>31</v>
      </c>
      <c r="C190" s="35" t="s">
        <v>23</v>
      </c>
      <c r="D190" s="35" t="s">
        <v>42</v>
      </c>
      <c r="E190" s="35" t="s">
        <v>25</v>
      </c>
      <c r="F190" s="35" t="s">
        <v>25</v>
      </c>
      <c r="G190" s="35" t="s">
        <v>25</v>
      </c>
      <c r="H190" s="35" t="s">
        <v>25</v>
      </c>
      <c r="I190" s="54">
        <v>44440</v>
      </c>
      <c r="J190" s="55">
        <f>EFEITO!$J$190*EFEITO!$Y$190</f>
        <v>0</v>
      </c>
      <c r="K190" s="55">
        <f ca="1">EFEITO!$L$190*EFEITO!$Z$190</f>
        <v>256.56723411064314</v>
      </c>
      <c r="L190" s="55">
        <f>EFEITO!$N$190*EFEITO!$AA$190</f>
        <v>182.75669491280334</v>
      </c>
      <c r="M190" s="55">
        <f>$J$190-EFEITO!$K$190*EFEITO!$Y$190</f>
        <v>0</v>
      </c>
      <c r="N190" s="55">
        <f ca="1">$K$190-EFEITO!$M$190*EFEITO!$Z$190</f>
        <v>0</v>
      </c>
      <c r="O190" s="55">
        <f>$L$190-EFEITO!$O$190*EFEITO!$AA$190</f>
        <v>0</v>
      </c>
      <c r="P190" s="39"/>
      <c r="Q190" s="39"/>
      <c r="R190" s="39"/>
      <c r="S190" s="39"/>
      <c r="T190" s="39"/>
      <c r="U190" s="39"/>
      <c r="V190" s="39"/>
      <c r="W190" s="39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11.25" customHeight="1" x14ac:dyDescent="0.2">
      <c r="A191" s="35" t="s">
        <v>21</v>
      </c>
      <c r="B191" s="35" t="s">
        <v>31</v>
      </c>
      <c r="C191" s="35" t="s">
        <v>23</v>
      </c>
      <c r="D191" s="35" t="s">
        <v>42</v>
      </c>
      <c r="E191" s="35" t="s">
        <v>25</v>
      </c>
      <c r="F191" s="35" t="s">
        <v>25</v>
      </c>
      <c r="G191" s="35" t="s">
        <v>25</v>
      </c>
      <c r="H191" s="35" t="s">
        <v>25</v>
      </c>
      <c r="I191" s="54">
        <v>44470</v>
      </c>
      <c r="J191" s="55">
        <f>EFEITO!$J$191*EFEITO!$Y$191</f>
        <v>0</v>
      </c>
      <c r="K191" s="55">
        <f ca="1">EFEITO!$L$191*EFEITO!$Z$191</f>
        <v>252.51945007734417</v>
      </c>
      <c r="L191" s="55">
        <f>EFEITO!$N$191*EFEITO!$AA$191</f>
        <v>179.87339754160621</v>
      </c>
      <c r="M191" s="55">
        <f>$J$191-EFEITO!$K$191*EFEITO!$Y$191</f>
        <v>0</v>
      </c>
      <c r="N191" s="55">
        <f ca="1">$K$191-EFEITO!$M$191*EFEITO!$Z$191</f>
        <v>0</v>
      </c>
      <c r="O191" s="55">
        <f>$L$191-EFEITO!$O$191*EFEITO!$AA$191</f>
        <v>0</v>
      </c>
      <c r="P191" s="39"/>
      <c r="Q191" s="39"/>
      <c r="R191" s="39"/>
      <c r="S191" s="39"/>
      <c r="T191" s="39"/>
      <c r="U191" s="39"/>
      <c r="V191" s="39"/>
      <c r="W191" s="39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11.25" customHeight="1" x14ac:dyDescent="0.2">
      <c r="A192" s="35" t="s">
        <v>21</v>
      </c>
      <c r="B192" s="35" t="s">
        <v>31</v>
      </c>
      <c r="C192" s="35" t="s">
        <v>23</v>
      </c>
      <c r="D192" s="35" t="s">
        <v>42</v>
      </c>
      <c r="E192" s="35" t="s">
        <v>25</v>
      </c>
      <c r="F192" s="35" t="s">
        <v>25</v>
      </c>
      <c r="G192" s="35" t="s">
        <v>25</v>
      </c>
      <c r="H192" s="35" t="s">
        <v>25</v>
      </c>
      <c r="I192" s="54">
        <v>44501</v>
      </c>
      <c r="J192" s="55">
        <f>EFEITO!$J$192*EFEITO!$Y$192</f>
        <v>0</v>
      </c>
      <c r="K192" s="55">
        <f ca="1">EFEITO!$L$192*EFEITO!$Z$192</f>
        <v>275.87205026945367</v>
      </c>
      <c r="L192" s="55">
        <f>EFEITO!$N$192*EFEITO!$AA$192</f>
        <v>196.50780545235892</v>
      </c>
      <c r="M192" s="55">
        <f>$J$192-EFEITO!$K$192*EFEITO!$Y$192</f>
        <v>0</v>
      </c>
      <c r="N192" s="55">
        <f ca="1">$K$192-EFEITO!$M$192*EFEITO!$Z$192</f>
        <v>0</v>
      </c>
      <c r="O192" s="55">
        <f>$L$192-EFEITO!$O$192*EFEITO!$AA$192</f>
        <v>0</v>
      </c>
      <c r="P192" s="39"/>
      <c r="Q192" s="39"/>
      <c r="R192" s="39"/>
      <c r="S192" s="39"/>
      <c r="T192" s="39"/>
      <c r="U192" s="39"/>
      <c r="V192" s="39"/>
      <c r="W192" s="39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11.25" customHeight="1" x14ac:dyDescent="0.2">
      <c r="A193" s="35" t="s">
        <v>21</v>
      </c>
      <c r="B193" s="35" t="s">
        <v>31</v>
      </c>
      <c r="C193" s="35" t="s">
        <v>23</v>
      </c>
      <c r="D193" s="35" t="s">
        <v>42</v>
      </c>
      <c r="E193" s="35" t="s">
        <v>25</v>
      </c>
      <c r="F193" s="35" t="s">
        <v>25</v>
      </c>
      <c r="G193" s="35" t="s">
        <v>25</v>
      </c>
      <c r="H193" s="35" t="s">
        <v>25</v>
      </c>
      <c r="I193" s="54">
        <v>44531</v>
      </c>
      <c r="J193" s="55">
        <f>EFEITO!$J$193*EFEITO!$Y$193</f>
        <v>0</v>
      </c>
      <c r="K193" s="55">
        <f ca="1">EFEITO!$L$193*EFEITO!$Z$193</f>
        <v>265.5969061849255</v>
      </c>
      <c r="L193" s="55">
        <f>EFEITO!$N$193*EFEITO!$AA$193</f>
        <v>189.18866597162773</v>
      </c>
      <c r="M193" s="55">
        <f>$J$193-EFEITO!$K$193*EFEITO!$Y$193</f>
        <v>0</v>
      </c>
      <c r="N193" s="55">
        <f ca="1">$K$193-EFEITO!$M$193*EFEITO!$Z$193</f>
        <v>0</v>
      </c>
      <c r="O193" s="55">
        <f>$L$193-EFEITO!$O$193*EFEITO!$AA$193</f>
        <v>0</v>
      </c>
      <c r="P193" s="39"/>
      <c r="Q193" s="39"/>
      <c r="R193" s="39"/>
      <c r="S193" s="39"/>
      <c r="T193" s="39"/>
      <c r="U193" s="39"/>
      <c r="V193" s="39"/>
      <c r="W193" s="39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11.25" customHeight="1" x14ac:dyDescent="0.2">
      <c r="A194" s="35" t="s">
        <v>21</v>
      </c>
      <c r="B194" s="35" t="s">
        <v>31</v>
      </c>
      <c r="C194" s="35" t="s">
        <v>23</v>
      </c>
      <c r="D194" s="35" t="s">
        <v>42</v>
      </c>
      <c r="E194" s="35" t="s">
        <v>25</v>
      </c>
      <c r="F194" s="35" t="s">
        <v>25</v>
      </c>
      <c r="G194" s="35" t="s">
        <v>25</v>
      </c>
      <c r="H194" s="35" t="s">
        <v>25</v>
      </c>
      <c r="I194" s="54">
        <v>44562</v>
      </c>
      <c r="J194" s="55">
        <f>EFEITO!$J$194*EFEITO!$Y$194</f>
        <v>0</v>
      </c>
      <c r="K194" s="55">
        <f ca="1">EFEITO!$L$194*EFEITO!$Z$194</f>
        <v>258.12407412345044</v>
      </c>
      <c r="L194" s="55">
        <f>EFEITO!$N$194*EFEITO!$AA$194</f>
        <v>183.86565544018686</v>
      </c>
      <c r="M194" s="55">
        <f>$J$194-EFEITO!$K$194*EFEITO!$Y$194</f>
        <v>0</v>
      </c>
      <c r="N194" s="55">
        <f ca="1">$K$194-EFEITO!$M$194*EFEITO!$Z$194</f>
        <v>0</v>
      </c>
      <c r="O194" s="55">
        <f>$L$194-EFEITO!$O$194*EFEITO!$AA$194</f>
        <v>0</v>
      </c>
      <c r="P194" s="39"/>
      <c r="Q194" s="39"/>
      <c r="R194" s="39"/>
      <c r="S194" s="39"/>
      <c r="T194" s="39"/>
      <c r="U194" s="39"/>
      <c r="V194" s="39"/>
      <c r="W194" s="39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11.25" customHeight="1" x14ac:dyDescent="0.2">
      <c r="A195" s="35" t="s">
        <v>21</v>
      </c>
      <c r="B195" s="35" t="s">
        <v>31</v>
      </c>
      <c r="C195" s="35" t="s">
        <v>23</v>
      </c>
      <c r="D195" s="35" t="s">
        <v>42</v>
      </c>
      <c r="E195" s="35" t="s">
        <v>25</v>
      </c>
      <c r="F195" s="35" t="s">
        <v>25</v>
      </c>
      <c r="G195" s="35" t="s">
        <v>25</v>
      </c>
      <c r="H195" s="35" t="s">
        <v>25</v>
      </c>
      <c r="I195" s="54">
        <v>44593</v>
      </c>
      <c r="J195" s="55">
        <f>EFEITO!$J$195*EFEITO!$Y$195</f>
        <v>0</v>
      </c>
      <c r="K195" s="55">
        <f ca="1">EFEITO!$L$195*EFEITO!$Z$195</f>
        <v>280.54257030787556</v>
      </c>
      <c r="L195" s="55">
        <f>EFEITO!$N$195*EFEITO!$AA$195</f>
        <v>199.83468703450947</v>
      </c>
      <c r="M195" s="55">
        <f>$J$195-EFEITO!$K$195*EFEITO!$Y$195</f>
        <v>0</v>
      </c>
      <c r="N195" s="55">
        <f ca="1">$K$195-EFEITO!$M$195*EFEITO!$Z$195</f>
        <v>0</v>
      </c>
      <c r="O195" s="55">
        <f>$L$195-EFEITO!$O$195*EFEITO!$AA$195</f>
        <v>0</v>
      </c>
      <c r="P195" s="39"/>
      <c r="Q195" s="39"/>
      <c r="R195" s="39"/>
      <c r="S195" s="39"/>
      <c r="T195" s="39"/>
      <c r="U195" s="39"/>
      <c r="V195" s="39"/>
      <c r="W195" s="39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11.25" customHeight="1" x14ac:dyDescent="0.2">
      <c r="A196" s="35" t="s">
        <v>21</v>
      </c>
      <c r="B196" s="35" t="s">
        <v>31</v>
      </c>
      <c r="C196" s="35" t="s">
        <v>23</v>
      </c>
      <c r="D196" s="35" t="s">
        <v>42</v>
      </c>
      <c r="E196" s="35" t="s">
        <v>25</v>
      </c>
      <c r="F196" s="35" t="s">
        <v>25</v>
      </c>
      <c r="G196" s="35" t="s">
        <v>25</v>
      </c>
      <c r="H196" s="35" t="s">
        <v>25</v>
      </c>
      <c r="I196" s="54">
        <v>44621</v>
      </c>
      <c r="J196" s="55">
        <f>EFEITO!$J$196*EFEITO!$Y$196</f>
        <v>0</v>
      </c>
      <c r="K196" s="55">
        <f ca="1">EFEITO!$L$196*EFEITO!$Z$196</f>
        <v>281.78804231812143</v>
      </c>
      <c r="L196" s="55">
        <f>EFEITO!$N$196*EFEITO!$AA$196</f>
        <v>200.72185545641631</v>
      </c>
      <c r="M196" s="55">
        <f>$J$196-EFEITO!$K$196*EFEITO!$Y$196</f>
        <v>0</v>
      </c>
      <c r="N196" s="55">
        <f ca="1">$K$196-EFEITO!$M$196*EFEITO!$Z$196</f>
        <v>0</v>
      </c>
      <c r="O196" s="55">
        <f>$L$196-EFEITO!$O$196*EFEITO!$AA$196</f>
        <v>0</v>
      </c>
      <c r="P196" s="39"/>
      <c r="Q196" s="39"/>
      <c r="R196" s="39"/>
      <c r="S196" s="39"/>
      <c r="T196" s="39"/>
      <c r="U196" s="39"/>
      <c r="V196" s="39"/>
      <c r="W196" s="39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11.25" customHeight="1" x14ac:dyDescent="0.2">
      <c r="A197" s="35" t="s">
        <v>21</v>
      </c>
      <c r="B197" s="35" t="s">
        <v>31</v>
      </c>
      <c r="C197" s="35" t="s">
        <v>23</v>
      </c>
      <c r="D197" s="35" t="s">
        <v>42</v>
      </c>
      <c r="E197" s="35" t="s">
        <v>25</v>
      </c>
      <c r="F197" s="35" t="s">
        <v>25</v>
      </c>
      <c r="G197" s="35" t="s">
        <v>25</v>
      </c>
      <c r="H197" s="35" t="s">
        <v>25</v>
      </c>
      <c r="I197" s="54">
        <v>44652</v>
      </c>
      <c r="J197" s="55">
        <f>EFEITO!$J$197*EFEITO!$Y$197</f>
        <v>0</v>
      </c>
      <c r="K197" s="55">
        <f ca="1">EFEITO!$L$197*EFEITO!$Z$197</f>
        <v>261.86049015418797</v>
      </c>
      <c r="L197" s="55">
        <f>EFEITO!$N$197*EFEITO!$AA$197</f>
        <v>186.52716070590728</v>
      </c>
      <c r="M197" s="55">
        <f>$J$197-EFEITO!$K$197*EFEITO!$Y$197</f>
        <v>0</v>
      </c>
      <c r="N197" s="55">
        <f ca="1">$K$197-EFEITO!$M$197*EFEITO!$Z$197</f>
        <v>0</v>
      </c>
      <c r="O197" s="55">
        <f>$L$197-EFEITO!$O$197*EFEITO!$AA$197</f>
        <v>0</v>
      </c>
      <c r="P197" s="39"/>
      <c r="Q197" s="39"/>
      <c r="R197" s="39"/>
      <c r="S197" s="39"/>
      <c r="T197" s="39"/>
      <c r="U197" s="39"/>
      <c r="V197" s="39"/>
      <c r="W197" s="39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11.25" customHeight="1" x14ac:dyDescent="0.2">
      <c r="A198" s="35" t="s">
        <v>21</v>
      </c>
      <c r="B198" s="35" t="s">
        <v>31</v>
      </c>
      <c r="C198" s="35" t="s">
        <v>23</v>
      </c>
      <c r="D198" s="35" t="s">
        <v>42</v>
      </c>
      <c r="E198" s="35" t="s">
        <v>25</v>
      </c>
      <c r="F198" s="35" t="s">
        <v>25</v>
      </c>
      <c r="G198" s="35" t="s">
        <v>25</v>
      </c>
      <c r="H198" s="35" t="s">
        <v>25</v>
      </c>
      <c r="I198" s="54">
        <v>44682</v>
      </c>
      <c r="J198" s="55">
        <f>EFEITO!$J$198*EFEITO!$Y$198</f>
        <v>0</v>
      </c>
      <c r="K198" s="55">
        <f ca="1">EFEITO!$L$198*EFEITO!$Z$198</f>
        <v>269.02195421310154</v>
      </c>
      <c r="L198" s="55">
        <f>EFEITO!$N$198*EFEITO!$AA$198</f>
        <v>191.62837913187147</v>
      </c>
      <c r="M198" s="55">
        <f>$J$198-EFEITO!$K$198*EFEITO!$Y$198</f>
        <v>0</v>
      </c>
      <c r="N198" s="55">
        <f ca="1">$K$198-EFEITO!$M$198*EFEITO!$Z$198</f>
        <v>0</v>
      </c>
      <c r="O198" s="55">
        <f>$L$198-EFEITO!$O$198*EFEITO!$AA$198</f>
        <v>0</v>
      </c>
      <c r="P198" s="39"/>
      <c r="Q198" s="39"/>
      <c r="R198" s="39"/>
      <c r="S198" s="39"/>
      <c r="T198" s="39"/>
      <c r="U198" s="39"/>
      <c r="V198" s="39"/>
      <c r="W198" s="39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11.25" customHeight="1" x14ac:dyDescent="0.2">
      <c r="A199" s="35" t="s">
        <v>21</v>
      </c>
      <c r="B199" s="35" t="s">
        <v>31</v>
      </c>
      <c r="C199" s="35" t="s">
        <v>23</v>
      </c>
      <c r="D199" s="35" t="s">
        <v>42</v>
      </c>
      <c r="E199" s="35" t="s">
        <v>25</v>
      </c>
      <c r="F199" s="35" t="s">
        <v>25</v>
      </c>
      <c r="G199" s="35" t="s">
        <v>25</v>
      </c>
      <c r="H199" s="35" t="s">
        <v>25</v>
      </c>
      <c r="I199" s="54">
        <v>44713</v>
      </c>
      <c r="J199" s="55">
        <f>EFEITO!$J$199*EFEITO!$Y$199</f>
        <v>0</v>
      </c>
      <c r="K199" s="55">
        <f ca="1">EFEITO!$L$199*EFEITO!$Z$199</f>
        <v>233.83736992365655</v>
      </c>
      <c r="L199" s="55">
        <f>EFEITO!$N$199*EFEITO!$AA$199</f>
        <v>166.56587121300402</v>
      </c>
      <c r="M199" s="55">
        <f>$J$199-EFEITO!$K$199*EFEITO!$Y$199</f>
        <v>0</v>
      </c>
      <c r="N199" s="55">
        <f ca="1">$K$199-EFEITO!$M$199*EFEITO!$Z$199</f>
        <v>0</v>
      </c>
      <c r="O199" s="55">
        <f>$L$199-EFEITO!$O$199*EFEITO!$AA$199</f>
        <v>0</v>
      </c>
      <c r="P199" s="39"/>
      <c r="Q199" s="39"/>
      <c r="R199" s="39"/>
      <c r="S199" s="39"/>
      <c r="T199" s="39"/>
      <c r="U199" s="39"/>
      <c r="V199" s="39"/>
      <c r="W199" s="39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11.25" customHeight="1" x14ac:dyDescent="0.2">
      <c r="A200" s="35" t="s">
        <v>21</v>
      </c>
      <c r="B200" s="35" t="s">
        <v>31</v>
      </c>
      <c r="C200" s="35" t="s">
        <v>23</v>
      </c>
      <c r="D200" s="35" t="s">
        <v>42</v>
      </c>
      <c r="E200" s="35" t="s">
        <v>25</v>
      </c>
      <c r="F200" s="35" t="s">
        <v>25</v>
      </c>
      <c r="G200" s="35" t="s">
        <v>25</v>
      </c>
      <c r="H200" s="35" t="s">
        <v>25</v>
      </c>
      <c r="I200" s="54">
        <v>44743</v>
      </c>
      <c r="J200" s="55">
        <f>EFEITO!$J$200*EFEITO!$Y$200</f>
        <v>0</v>
      </c>
      <c r="K200" s="55">
        <f ca="1">EFEITO!$L$200*EFEITO!$Z$200</f>
        <v>271.51289823359321</v>
      </c>
      <c r="L200" s="55">
        <f>EFEITO!$N$200*EFEITO!$AA$200</f>
        <v>193.40271597568508</v>
      </c>
      <c r="M200" s="55">
        <f>$J$200-EFEITO!$K$200*EFEITO!$Y$200</f>
        <v>0</v>
      </c>
      <c r="N200" s="55">
        <f ca="1">$K$200-EFEITO!$M$200*EFEITO!$Z$200</f>
        <v>0</v>
      </c>
      <c r="O200" s="55">
        <f>$L$200-EFEITO!$O$200*EFEITO!$AA$200</f>
        <v>0</v>
      </c>
      <c r="P200" s="39"/>
      <c r="Q200" s="39"/>
      <c r="R200" s="39"/>
      <c r="S200" s="39"/>
      <c r="T200" s="39"/>
      <c r="U200" s="39"/>
      <c r="V200" s="39"/>
      <c r="W200" s="39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11.25" customHeight="1" x14ac:dyDescent="0.2">
      <c r="A201" s="35" t="s">
        <v>21</v>
      </c>
      <c r="B201" s="35" t="s">
        <v>31</v>
      </c>
      <c r="C201" s="35" t="s">
        <v>23</v>
      </c>
      <c r="D201" s="35" t="s">
        <v>42</v>
      </c>
      <c r="E201" s="35" t="s">
        <v>25</v>
      </c>
      <c r="F201" s="35" t="s">
        <v>25</v>
      </c>
      <c r="G201" s="35" t="s">
        <v>25</v>
      </c>
      <c r="H201" s="35" t="s">
        <v>25</v>
      </c>
      <c r="I201" s="54">
        <v>44774</v>
      </c>
      <c r="J201" s="55">
        <f>EFEITO!$J$201*EFEITO!$Y$201</f>
        <v>0</v>
      </c>
      <c r="K201" s="55">
        <f ca="1">EFEITO!$L$201*EFEITO!$Z$201</f>
        <v>269.33332221566297</v>
      </c>
      <c r="L201" s="55">
        <f>EFEITO!$N$201*EFEITO!$AA$201</f>
        <v>191.85017123734818</v>
      </c>
      <c r="M201" s="55">
        <f>$J$201-EFEITO!$K$201*EFEITO!$Y$201</f>
        <v>0</v>
      </c>
      <c r="N201" s="55">
        <f ca="1">$K$201-EFEITO!$M$201*EFEITO!$Z$201</f>
        <v>0</v>
      </c>
      <c r="O201" s="55">
        <f>$L$201-EFEITO!$O$201*EFEITO!$AA$201</f>
        <v>0</v>
      </c>
      <c r="P201" s="39"/>
      <c r="Q201" s="39"/>
      <c r="R201" s="39"/>
      <c r="S201" s="39"/>
      <c r="T201" s="39"/>
      <c r="U201" s="39"/>
      <c r="V201" s="39"/>
      <c r="W201" s="39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11.25" customHeight="1" x14ac:dyDescent="0.2">
      <c r="A202" s="35" t="s">
        <v>21</v>
      </c>
      <c r="B202" s="35" t="s">
        <v>31</v>
      </c>
      <c r="C202" s="35" t="s">
        <v>23</v>
      </c>
      <c r="D202" s="35" t="s">
        <v>46</v>
      </c>
      <c r="E202" s="35" t="s">
        <v>47</v>
      </c>
      <c r="F202" s="35" t="s">
        <v>25</v>
      </c>
      <c r="G202" s="35" t="s">
        <v>25</v>
      </c>
      <c r="H202" s="35" t="s">
        <v>25</v>
      </c>
      <c r="I202" s="54">
        <v>44440</v>
      </c>
      <c r="J202" s="55">
        <f>EFEITO!$J$202*EFEITO!$Y$201</f>
        <v>0</v>
      </c>
      <c r="K202" s="55">
        <f ca="1">EFEITO!$L$202*EFEITO!$Z$201</f>
        <v>248.78303404660664</v>
      </c>
      <c r="L202" s="55">
        <f>EFEITO!$N$202*EFEITO!$AA$201</f>
        <v>177.21189227588579</v>
      </c>
      <c r="M202" s="55">
        <f>$J$202-EFEITO!$K$202*EFEITO!$Y$202</f>
        <v>0</v>
      </c>
      <c r="N202" s="55">
        <f ca="1">$K$202-EFEITO!$M$202*EFEITO!$Z$202</f>
        <v>7.4634910213981982</v>
      </c>
      <c r="O202" s="55">
        <f>$L$202-EFEITO!$O$202*EFEITO!$AA$202</f>
        <v>5.3163567682765915</v>
      </c>
      <c r="P202" s="39"/>
      <c r="Q202" s="39"/>
      <c r="R202" s="39"/>
      <c r="S202" s="39"/>
      <c r="T202" s="39"/>
      <c r="U202" s="39"/>
      <c r="V202" s="39"/>
      <c r="W202" s="39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11.25" customHeight="1" x14ac:dyDescent="0.2">
      <c r="A203" s="35" t="s">
        <v>21</v>
      </c>
      <c r="B203" s="35" t="s">
        <v>31</v>
      </c>
      <c r="C203" s="35" t="s">
        <v>23</v>
      </c>
      <c r="D203" s="35" t="s">
        <v>46</v>
      </c>
      <c r="E203" s="35" t="s">
        <v>47</v>
      </c>
      <c r="F203" s="35" t="s">
        <v>25</v>
      </c>
      <c r="G203" s="35" t="s">
        <v>25</v>
      </c>
      <c r="H203" s="35" t="s">
        <v>25</v>
      </c>
      <c r="I203" s="54">
        <v>44470</v>
      </c>
      <c r="J203" s="55">
        <f>EFEITO!$J$203*EFEITO!$Y$201</f>
        <v>0</v>
      </c>
      <c r="K203" s="55">
        <f ca="1">EFEITO!$L$203*EFEITO!$Z$201</f>
        <v>214.532553764846</v>
      </c>
      <c r="L203" s="55">
        <f>EFEITO!$N$203*EFEITO!$AA$201</f>
        <v>152.8147606734484</v>
      </c>
      <c r="M203" s="55">
        <f>$J$203-EFEITO!$K$203*EFEITO!$Y$203</f>
        <v>0</v>
      </c>
      <c r="N203" s="55">
        <f ca="1">$K$203-EFEITO!$M$203*EFEITO!$Z$203</f>
        <v>6.4359766129453817</v>
      </c>
      <c r="O203" s="55">
        <f>$L$203-EFEITO!$O$203*EFEITO!$AA$203</f>
        <v>4.5844428202034351</v>
      </c>
      <c r="P203" s="39"/>
      <c r="Q203" s="39"/>
      <c r="R203" s="39"/>
      <c r="S203" s="39"/>
      <c r="T203" s="39"/>
      <c r="U203" s="39"/>
      <c r="V203" s="39"/>
      <c r="W203" s="39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11.25" customHeight="1" x14ac:dyDescent="0.2">
      <c r="A204" s="35" t="s">
        <v>21</v>
      </c>
      <c r="B204" s="35" t="s">
        <v>31</v>
      </c>
      <c r="C204" s="35" t="s">
        <v>23</v>
      </c>
      <c r="D204" s="35" t="s">
        <v>46</v>
      </c>
      <c r="E204" s="35" t="s">
        <v>47</v>
      </c>
      <c r="F204" s="35" t="s">
        <v>25</v>
      </c>
      <c r="G204" s="35" t="s">
        <v>25</v>
      </c>
      <c r="H204" s="35" t="s">
        <v>25</v>
      </c>
      <c r="I204" s="54">
        <v>44501</v>
      </c>
      <c r="J204" s="55">
        <f>EFEITO!$J$204*EFEITO!$Y$201</f>
        <v>0</v>
      </c>
      <c r="K204" s="55">
        <f ca="1">EFEITO!$L$204*EFEITO!$Z$201</f>
        <v>260.92638614650355</v>
      </c>
      <c r="L204" s="55">
        <f>EFEITO!$N$204*EFEITO!$AA$201</f>
        <v>185.86178438947718</v>
      </c>
      <c r="M204" s="55">
        <f>$J$204-EFEITO!$K$204*EFEITO!$Y$204</f>
        <v>0</v>
      </c>
      <c r="N204" s="55">
        <f ca="1">$K$204-EFEITO!$M$204*EFEITO!$Z$204</f>
        <v>7.8277915843950723</v>
      </c>
      <c r="O204" s="55">
        <f>$L$204-EFEITO!$O$204*EFEITO!$AA$204</f>
        <v>5.5758535316843165</v>
      </c>
      <c r="P204" s="39"/>
      <c r="Q204" s="39"/>
      <c r="R204" s="39"/>
      <c r="S204" s="39"/>
      <c r="T204" s="39"/>
      <c r="U204" s="39"/>
      <c r="V204" s="39"/>
      <c r="W204" s="39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11.25" customHeight="1" x14ac:dyDescent="0.2">
      <c r="A205" s="35" t="s">
        <v>21</v>
      </c>
      <c r="B205" s="35" t="s">
        <v>31</v>
      </c>
      <c r="C205" s="35" t="s">
        <v>23</v>
      </c>
      <c r="D205" s="35" t="s">
        <v>46</v>
      </c>
      <c r="E205" s="35" t="s">
        <v>47</v>
      </c>
      <c r="F205" s="35" t="s">
        <v>25</v>
      </c>
      <c r="G205" s="35" t="s">
        <v>25</v>
      </c>
      <c r="H205" s="35" t="s">
        <v>25</v>
      </c>
      <c r="I205" s="54">
        <v>44531</v>
      </c>
      <c r="J205" s="55">
        <f>EFEITO!$J$205*EFEITO!$Y$201</f>
        <v>0</v>
      </c>
      <c r="K205" s="55">
        <f ca="1">EFEITO!$L$205*EFEITO!$Z$201</f>
        <v>245.04661801586911</v>
      </c>
      <c r="L205" s="55">
        <f>EFEITO!$N$205*EFEITO!$AA$201</f>
        <v>174.55038701016534</v>
      </c>
      <c r="M205" s="55">
        <f>$J$205-EFEITO!$K$205*EFEITO!$Y$205</f>
        <v>0</v>
      </c>
      <c r="N205" s="55">
        <f ca="1">$K$205-EFEITO!$M$205*EFEITO!$Z$205</f>
        <v>7.3513985404760547</v>
      </c>
      <c r="O205" s="55">
        <f>$L$205-EFEITO!$O$205*EFEITO!$AA$205</f>
        <v>5.2365116103049729</v>
      </c>
      <c r="P205" s="39"/>
      <c r="Q205" s="39"/>
      <c r="R205" s="39"/>
      <c r="S205" s="39"/>
      <c r="T205" s="39"/>
      <c r="U205" s="39"/>
      <c r="V205" s="39"/>
      <c r="W205" s="39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11.25" customHeight="1" x14ac:dyDescent="0.2">
      <c r="A206" s="35" t="s">
        <v>21</v>
      </c>
      <c r="B206" s="35" t="s">
        <v>31</v>
      </c>
      <c r="C206" s="35" t="s">
        <v>23</v>
      </c>
      <c r="D206" s="35" t="s">
        <v>46</v>
      </c>
      <c r="E206" s="35" t="s">
        <v>47</v>
      </c>
      <c r="F206" s="35" t="s">
        <v>25</v>
      </c>
      <c r="G206" s="35" t="s">
        <v>25</v>
      </c>
      <c r="H206" s="35" t="s">
        <v>25</v>
      </c>
      <c r="I206" s="54">
        <v>44562</v>
      </c>
      <c r="J206" s="55">
        <f>EFEITO!$J$206*EFEITO!$Y$201</f>
        <v>0</v>
      </c>
      <c r="K206" s="55">
        <f ca="1">EFEITO!$L$206*EFEITO!$Z$201</f>
        <v>249.71713805429104</v>
      </c>
      <c r="L206" s="55">
        <f>EFEITO!$N$206*EFEITO!$AA$201</f>
        <v>177.87726859231589</v>
      </c>
      <c r="M206" s="55">
        <f>$J$206-EFEITO!$K$206*EFEITO!$Y$206</f>
        <v>0</v>
      </c>
      <c r="N206" s="55">
        <f ca="1">$K$206-EFEITO!$M$206*EFEITO!$Z$206</f>
        <v>7.491514141628727</v>
      </c>
      <c r="O206" s="55">
        <f>$L$206-EFEITO!$O$206*EFEITO!$AA$206</f>
        <v>5.3363180577694891</v>
      </c>
      <c r="P206" s="39"/>
      <c r="Q206" s="39"/>
      <c r="R206" s="39"/>
      <c r="S206" s="39"/>
      <c r="T206" s="39"/>
      <c r="U206" s="39"/>
      <c r="V206" s="39"/>
      <c r="W206" s="39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11.25" customHeight="1" x14ac:dyDescent="0.2">
      <c r="A207" s="35" t="s">
        <v>21</v>
      </c>
      <c r="B207" s="35" t="s">
        <v>31</v>
      </c>
      <c r="C207" s="35" t="s">
        <v>23</v>
      </c>
      <c r="D207" s="35" t="s">
        <v>46</v>
      </c>
      <c r="E207" s="35" t="s">
        <v>47</v>
      </c>
      <c r="F207" s="35" t="s">
        <v>25</v>
      </c>
      <c r="G207" s="35" t="s">
        <v>25</v>
      </c>
      <c r="H207" s="35" t="s">
        <v>25</v>
      </c>
      <c r="I207" s="54">
        <v>44593</v>
      </c>
      <c r="J207" s="55">
        <f>EFEITO!$J$207*EFEITO!$Y$201</f>
        <v>0</v>
      </c>
      <c r="K207" s="55">
        <f ca="1">EFEITO!$L$207*EFEITO!$Z$201</f>
        <v>221.38264982119813</v>
      </c>
      <c r="L207" s="55">
        <f>EFEITO!$N$207*EFEITO!$AA$201</f>
        <v>157.69418699393589</v>
      </c>
      <c r="M207" s="55">
        <f>$J$207-EFEITO!$K$207*EFEITO!$Y$207</f>
        <v>0</v>
      </c>
      <c r="N207" s="55">
        <f ca="1">$K$207-EFEITO!$M$207*EFEITO!$Z$207</f>
        <v>6.641479494635945</v>
      </c>
      <c r="O207" s="55">
        <f>$L$207-EFEITO!$O$207*EFEITO!$AA$207</f>
        <v>4.7308256098180834</v>
      </c>
      <c r="P207" s="39"/>
      <c r="Q207" s="39"/>
      <c r="R207" s="39"/>
      <c r="S207" s="39"/>
      <c r="T207" s="39"/>
      <c r="U207" s="39"/>
      <c r="V207" s="39"/>
      <c r="W207" s="39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11.25" customHeight="1" x14ac:dyDescent="0.2">
      <c r="A208" s="35" t="s">
        <v>21</v>
      </c>
      <c r="B208" s="35" t="s">
        <v>31</v>
      </c>
      <c r="C208" s="35" t="s">
        <v>23</v>
      </c>
      <c r="D208" s="35" t="s">
        <v>46</v>
      </c>
      <c r="E208" s="35" t="s">
        <v>47</v>
      </c>
      <c r="F208" s="35" t="s">
        <v>25</v>
      </c>
      <c r="G208" s="35" t="s">
        <v>25</v>
      </c>
      <c r="H208" s="35" t="s">
        <v>25</v>
      </c>
      <c r="I208" s="54">
        <v>44621</v>
      </c>
      <c r="J208" s="55">
        <f>EFEITO!$J$208*EFEITO!$Y$201</f>
        <v>0</v>
      </c>
      <c r="K208" s="55">
        <f ca="1">EFEITO!$L$208*EFEITO!$Z$201</f>
        <v>197.09594562140427</v>
      </c>
      <c r="L208" s="55">
        <f>EFEITO!$N$208*EFEITO!$AA$201</f>
        <v>140.39440276675305</v>
      </c>
      <c r="M208" s="55">
        <f>$J$208-EFEITO!$K$208*EFEITO!$Y$208</f>
        <v>0</v>
      </c>
      <c r="N208" s="55">
        <f ca="1">$K$208-EFEITO!$M$208*EFEITO!$Z$208</f>
        <v>5.91287836864214</v>
      </c>
      <c r="O208" s="55">
        <f>$L$208-EFEITO!$O$208*EFEITO!$AA$208</f>
        <v>4.2118320830025766</v>
      </c>
      <c r="P208" s="39"/>
      <c r="Q208" s="39"/>
      <c r="R208" s="39"/>
      <c r="S208" s="39"/>
      <c r="T208" s="39"/>
      <c r="U208" s="39"/>
      <c r="V208" s="39"/>
      <c r="W208" s="39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11.25" customHeight="1" x14ac:dyDescent="0.2">
      <c r="A209" s="35" t="s">
        <v>21</v>
      </c>
      <c r="B209" s="35" t="s">
        <v>31</v>
      </c>
      <c r="C209" s="35" t="s">
        <v>23</v>
      </c>
      <c r="D209" s="35" t="s">
        <v>46</v>
      </c>
      <c r="E209" s="35" t="s">
        <v>47</v>
      </c>
      <c r="F209" s="35" t="s">
        <v>25</v>
      </c>
      <c r="G209" s="35" t="s">
        <v>25</v>
      </c>
      <c r="H209" s="35" t="s">
        <v>25</v>
      </c>
      <c r="I209" s="54">
        <v>44652</v>
      </c>
      <c r="J209" s="55">
        <f>EFEITO!$J$209*EFEITO!$Y$201</f>
        <v>0</v>
      </c>
      <c r="K209" s="55">
        <f ca="1">EFEITO!$L$209*EFEITO!$Z$201</f>
        <v>96.212712791491171</v>
      </c>
      <c r="L209" s="55">
        <f>EFEITO!$N$209*EFEITO!$AA$201</f>
        <v>68.533760592301249</v>
      </c>
      <c r="M209" s="55">
        <f>$J$209-EFEITO!$K$209*EFEITO!$Y$209</f>
        <v>0</v>
      </c>
      <c r="N209" s="55">
        <f ca="1">$K$209-EFEITO!$M$209*EFEITO!$Z$209</f>
        <v>2.8863813837447339</v>
      </c>
      <c r="O209" s="55">
        <f>$L$209-EFEITO!$O$209*EFEITO!$AA$209</f>
        <v>2.0560128177690302</v>
      </c>
      <c r="P209" s="39"/>
      <c r="Q209" s="39"/>
      <c r="R209" s="39"/>
      <c r="S209" s="39"/>
      <c r="T209" s="39"/>
      <c r="U209" s="39"/>
      <c r="V209" s="39"/>
      <c r="W209" s="39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11.25" customHeight="1" x14ac:dyDescent="0.2">
      <c r="A210" s="35" t="s">
        <v>21</v>
      </c>
      <c r="B210" s="35" t="s">
        <v>31</v>
      </c>
      <c r="C210" s="35" t="s">
        <v>23</v>
      </c>
      <c r="D210" s="35" t="s">
        <v>46</v>
      </c>
      <c r="E210" s="35" t="s">
        <v>47</v>
      </c>
      <c r="F210" s="35" t="s">
        <v>25</v>
      </c>
      <c r="G210" s="35" t="s">
        <v>25</v>
      </c>
      <c r="H210" s="35" t="s">
        <v>25</v>
      </c>
      <c r="I210" s="54">
        <v>44682</v>
      </c>
      <c r="J210" s="55">
        <f>EFEITO!$J$210*EFEITO!$Y$201</f>
        <v>0</v>
      </c>
      <c r="K210" s="55">
        <f ca="1">EFEITO!$L$210*EFEITO!$Z$201</f>
        <v>99.326392817105784</v>
      </c>
      <c r="L210" s="55">
        <f>EFEITO!$N$210*EFEITO!$AA$201</f>
        <v>70.751681647068281</v>
      </c>
      <c r="M210" s="55">
        <f>$J$210-EFEITO!$K$210*EFEITO!$Y$210</f>
        <v>0</v>
      </c>
      <c r="N210" s="55">
        <f ca="1">$K$210-EFEITO!$M$210*EFEITO!$Z$210</f>
        <v>2.9797917845131821</v>
      </c>
      <c r="O210" s="55">
        <f>$L$210-EFEITO!$O$210*EFEITO!$AA$210</f>
        <v>2.1225504494120457</v>
      </c>
      <c r="P210" s="39"/>
      <c r="Q210" s="39"/>
      <c r="R210" s="39"/>
      <c r="S210" s="39"/>
      <c r="T210" s="39"/>
      <c r="U210" s="39"/>
      <c r="V210" s="39"/>
      <c r="W210" s="39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11.25" customHeight="1" x14ac:dyDescent="0.2">
      <c r="A211" s="35" t="s">
        <v>21</v>
      </c>
      <c r="B211" s="35" t="s">
        <v>31</v>
      </c>
      <c r="C211" s="35" t="s">
        <v>23</v>
      </c>
      <c r="D211" s="35" t="s">
        <v>46</v>
      </c>
      <c r="E211" s="35" t="s">
        <v>47</v>
      </c>
      <c r="F211" s="35" t="s">
        <v>25</v>
      </c>
      <c r="G211" s="35" t="s">
        <v>25</v>
      </c>
      <c r="H211" s="35" t="s">
        <v>25</v>
      </c>
      <c r="I211" s="54">
        <v>44713</v>
      </c>
      <c r="J211" s="55">
        <f>EFEITO!$J$211*EFEITO!$Y$201</f>
        <v>0</v>
      </c>
      <c r="K211" s="55">
        <f ca="1">EFEITO!$L$211*EFEITO!$Z$201</f>
        <v>101.505968835036</v>
      </c>
      <c r="L211" s="55">
        <f>EFEITO!$N$211*EFEITO!$AA$201</f>
        <v>72.304226385405215</v>
      </c>
      <c r="M211" s="55">
        <f>$J$211-EFEITO!$K$211*EFEITO!$Y$211</f>
        <v>0</v>
      </c>
      <c r="N211" s="55">
        <f ca="1">$K$211-EFEITO!$M$211*EFEITO!$Z$211</f>
        <v>3.0451790650510731</v>
      </c>
      <c r="O211" s="55">
        <f>$L$211-EFEITO!$O$211*EFEITO!$AA$211</f>
        <v>2.1691267915621637</v>
      </c>
      <c r="P211" s="39"/>
      <c r="Q211" s="39"/>
      <c r="R211" s="39"/>
      <c r="S211" s="39"/>
      <c r="T211" s="39"/>
      <c r="U211" s="39"/>
      <c r="V211" s="39"/>
      <c r="W211" s="39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11.25" customHeight="1" x14ac:dyDescent="0.2">
      <c r="A212" s="35" t="s">
        <v>21</v>
      </c>
      <c r="B212" s="35" t="s">
        <v>31</v>
      </c>
      <c r="C212" s="35" t="s">
        <v>23</v>
      </c>
      <c r="D212" s="35" t="s">
        <v>46</v>
      </c>
      <c r="E212" s="35" t="s">
        <v>47</v>
      </c>
      <c r="F212" s="35" t="s">
        <v>25</v>
      </c>
      <c r="G212" s="35" t="s">
        <v>25</v>
      </c>
      <c r="H212" s="35" t="s">
        <v>25</v>
      </c>
      <c r="I212" s="54">
        <v>44743</v>
      </c>
      <c r="J212" s="55">
        <f>EFEITO!$J$212*EFEITO!$Y$201</f>
        <v>0</v>
      </c>
      <c r="K212" s="55">
        <f ca="1">EFEITO!$L$212*EFEITO!$Z$201</f>
        <v>199.8982576444574</v>
      </c>
      <c r="L212" s="55">
        <f>EFEITO!$N$212*EFEITO!$AA$201</f>
        <v>142.3905317160434</v>
      </c>
      <c r="M212" s="55">
        <f>$J$212-EFEITO!$K$212*EFEITO!$Y$212</f>
        <v>0</v>
      </c>
      <c r="N212" s="55">
        <f ca="1">$K$212-EFEITO!$M$212*EFEITO!$Z$212</f>
        <v>5.9969477293337263</v>
      </c>
      <c r="O212" s="55">
        <f>$L$212-EFEITO!$O$212*EFEITO!$AA$212</f>
        <v>4.2717159514813261</v>
      </c>
      <c r="P212" s="39"/>
      <c r="Q212" s="39"/>
      <c r="R212" s="39"/>
      <c r="S212" s="39"/>
      <c r="T212" s="39"/>
      <c r="U212" s="39"/>
      <c r="V212" s="39"/>
      <c r="W212" s="39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11.25" customHeight="1" x14ac:dyDescent="0.2">
      <c r="A213" s="35" t="s">
        <v>21</v>
      </c>
      <c r="B213" s="35" t="s">
        <v>31</v>
      </c>
      <c r="C213" s="35" t="s">
        <v>23</v>
      </c>
      <c r="D213" s="35" t="s">
        <v>46</v>
      </c>
      <c r="E213" s="35" t="s">
        <v>47</v>
      </c>
      <c r="F213" s="35" t="s">
        <v>25</v>
      </c>
      <c r="G213" s="35" t="s">
        <v>25</v>
      </c>
      <c r="H213" s="35" t="s">
        <v>25</v>
      </c>
      <c r="I213" s="54">
        <v>44774</v>
      </c>
      <c r="J213" s="55">
        <f>EFEITO!$J$213*EFEITO!$Y$201</f>
        <v>0</v>
      </c>
      <c r="K213" s="55">
        <f ca="1">EFEITO!$L$213*EFEITO!$Z$201</f>
        <v>162.53409733708219</v>
      </c>
      <c r="L213" s="55">
        <f>EFEITO!$N$213*EFEITO!$AA$201</f>
        <v>115.77547905883901</v>
      </c>
      <c r="M213" s="55">
        <f>$J$213-EFEITO!$K$213*EFEITO!$Y$213</f>
        <v>0</v>
      </c>
      <c r="N213" s="55">
        <f ca="1">$K$213-EFEITO!$M$213*EFEITO!$Z$213</f>
        <v>4.8760229201124616</v>
      </c>
      <c r="O213" s="55">
        <f>$L$213-EFEITO!$O$213*EFEITO!$AA$213</f>
        <v>3.4732643717651683</v>
      </c>
      <c r="P213" s="39"/>
      <c r="Q213" s="39"/>
      <c r="R213" s="39"/>
      <c r="S213" s="39"/>
      <c r="T213" s="39"/>
      <c r="U213" s="39"/>
      <c r="V213" s="39"/>
      <c r="W213" s="39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11.25" customHeight="1" x14ac:dyDescent="0.2">
      <c r="A214" s="35" t="s">
        <v>21</v>
      </c>
      <c r="B214" s="35" t="s">
        <v>43</v>
      </c>
      <c r="C214" s="35" t="s">
        <v>23</v>
      </c>
      <c r="D214" s="35" t="s">
        <v>44</v>
      </c>
      <c r="E214" s="35" t="s">
        <v>45</v>
      </c>
      <c r="F214" s="35" t="s">
        <v>25</v>
      </c>
      <c r="G214" s="35" t="s">
        <v>25</v>
      </c>
      <c r="H214" s="35" t="s">
        <v>25</v>
      </c>
      <c r="I214" s="54">
        <v>44440</v>
      </c>
      <c r="J214" s="55">
        <f>EFEITO!$J$214*EFEITO!$Y$214</f>
        <v>0</v>
      </c>
      <c r="K214" s="55">
        <f ca="1">EFEITO!$L$214*EFEITO!$Z$214</f>
        <v>3495.9465223593056</v>
      </c>
      <c r="L214" s="55">
        <f>EFEITO!$N$214*EFEITO!$AA$214</f>
        <v>2490.2152226607795</v>
      </c>
      <c r="M214" s="55">
        <f>$J$214-EFEITO!$K$214*EFEITO!$Y$214</f>
        <v>0</v>
      </c>
      <c r="N214" s="55">
        <f ca="1">$K$214-EFEITO!$M$214*EFEITO!$Z$214</f>
        <v>0</v>
      </c>
      <c r="O214" s="55">
        <f>$L$214-EFEITO!$O$214*EFEITO!$AA$214</f>
        <v>0</v>
      </c>
      <c r="P214" s="39"/>
      <c r="Q214" s="39"/>
      <c r="R214" s="39"/>
      <c r="S214" s="39"/>
      <c r="T214" s="39"/>
      <c r="U214" s="39"/>
      <c r="V214" s="39"/>
      <c r="W214" s="39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11.25" customHeight="1" x14ac:dyDescent="0.2">
      <c r="A215" s="35" t="s">
        <v>21</v>
      </c>
      <c r="B215" s="35" t="s">
        <v>43</v>
      </c>
      <c r="C215" s="35" t="s">
        <v>23</v>
      </c>
      <c r="D215" s="35" t="s">
        <v>44</v>
      </c>
      <c r="E215" s="35" t="s">
        <v>45</v>
      </c>
      <c r="F215" s="35" t="s">
        <v>25</v>
      </c>
      <c r="G215" s="35" t="s">
        <v>25</v>
      </c>
      <c r="H215" s="35" t="s">
        <v>25</v>
      </c>
      <c r="I215" s="54">
        <v>44470</v>
      </c>
      <c r="J215" s="55">
        <f>EFEITO!$J$215*EFEITO!$Y$215</f>
        <v>0</v>
      </c>
      <c r="K215" s="55">
        <f ca="1">EFEITO!$L$215*EFEITO!$Z$215</f>
        <v>3612.3981553172916</v>
      </c>
      <c r="L215" s="55">
        <f>EFEITO!$N$215*EFEITO!$AA$215</f>
        <v>2573.1654701090665</v>
      </c>
      <c r="M215" s="55">
        <f>$J$215-EFEITO!$K$215*EFEITO!$Y$215</f>
        <v>0</v>
      </c>
      <c r="N215" s="55">
        <f ca="1">$K$215-EFEITO!$M$215*EFEITO!$Z$215</f>
        <v>0</v>
      </c>
      <c r="O215" s="55">
        <f>$L$215-EFEITO!$O$215*EFEITO!$AA$215</f>
        <v>0</v>
      </c>
      <c r="P215" s="39"/>
      <c r="Q215" s="39"/>
      <c r="R215" s="39"/>
      <c r="S215" s="39"/>
      <c r="T215" s="39"/>
      <c r="U215" s="39"/>
      <c r="V215" s="39"/>
      <c r="W215" s="39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11.25" customHeight="1" x14ac:dyDescent="0.2">
      <c r="A216" s="35" t="s">
        <v>21</v>
      </c>
      <c r="B216" s="35" t="s">
        <v>43</v>
      </c>
      <c r="C216" s="35" t="s">
        <v>23</v>
      </c>
      <c r="D216" s="35" t="s">
        <v>44</v>
      </c>
      <c r="E216" s="35" t="s">
        <v>45</v>
      </c>
      <c r="F216" s="35" t="s">
        <v>25</v>
      </c>
      <c r="G216" s="35" t="s">
        <v>25</v>
      </c>
      <c r="H216" s="35" t="s">
        <v>25</v>
      </c>
      <c r="I216" s="54">
        <v>44501</v>
      </c>
      <c r="J216" s="55">
        <f>EFEITO!$J$216*EFEITO!$Y$216</f>
        <v>0</v>
      </c>
      <c r="K216" s="55">
        <f ca="1">EFEITO!$L$216*EFEITO!$Z$216</f>
        <v>3495.9465223593056</v>
      </c>
      <c r="L216" s="55">
        <f>EFEITO!$N$216*EFEITO!$AA$216</f>
        <v>2490.2152226607795</v>
      </c>
      <c r="M216" s="55">
        <f>$J$216-EFEITO!$K$216*EFEITO!$Y$216</f>
        <v>0</v>
      </c>
      <c r="N216" s="55">
        <f ca="1">$K$216-EFEITO!$M$216*EFEITO!$Z$216</f>
        <v>0</v>
      </c>
      <c r="O216" s="55">
        <f>$L$216-EFEITO!$O$216*EFEITO!$AA$216</f>
        <v>0</v>
      </c>
      <c r="P216" s="39"/>
      <c r="Q216" s="39"/>
      <c r="R216" s="39"/>
      <c r="S216" s="39"/>
      <c r="T216" s="39"/>
      <c r="U216" s="39"/>
      <c r="V216" s="39"/>
      <c r="W216" s="39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11.25" customHeight="1" x14ac:dyDescent="0.2">
      <c r="A217" s="35" t="s">
        <v>21</v>
      </c>
      <c r="B217" s="35" t="s">
        <v>43</v>
      </c>
      <c r="C217" s="35" t="s">
        <v>23</v>
      </c>
      <c r="D217" s="35" t="s">
        <v>44</v>
      </c>
      <c r="E217" s="35" t="s">
        <v>45</v>
      </c>
      <c r="F217" s="35" t="s">
        <v>25</v>
      </c>
      <c r="G217" s="35" t="s">
        <v>25</v>
      </c>
      <c r="H217" s="35" t="s">
        <v>25</v>
      </c>
      <c r="I217" s="54">
        <v>44531</v>
      </c>
      <c r="J217" s="55">
        <f>EFEITO!$J$217*EFEITO!$Y$217</f>
        <v>0</v>
      </c>
      <c r="K217" s="55">
        <f ca="1">EFEITO!$L$217*EFEITO!$Z$217</f>
        <v>3612.3981553172916</v>
      </c>
      <c r="L217" s="55">
        <f>EFEITO!$N$217*EFEITO!$AA$217</f>
        <v>2573.1654701090665</v>
      </c>
      <c r="M217" s="55">
        <f>$J$217-EFEITO!$K$217*EFEITO!$Y$217</f>
        <v>0</v>
      </c>
      <c r="N217" s="55">
        <f ca="1">$K$217-EFEITO!$M$217*EFEITO!$Z$217</f>
        <v>0</v>
      </c>
      <c r="O217" s="55">
        <f>$L$217-EFEITO!$O$217*EFEITO!$AA$217</f>
        <v>0</v>
      </c>
      <c r="P217" s="39"/>
      <c r="Q217" s="39"/>
      <c r="R217" s="39"/>
      <c r="S217" s="39"/>
      <c r="T217" s="39"/>
      <c r="U217" s="39"/>
      <c r="V217" s="39"/>
      <c r="W217" s="39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11.25" customHeight="1" x14ac:dyDescent="0.2">
      <c r="A218" s="35" t="s">
        <v>21</v>
      </c>
      <c r="B218" s="35" t="s">
        <v>43</v>
      </c>
      <c r="C218" s="35" t="s">
        <v>23</v>
      </c>
      <c r="D218" s="35" t="s">
        <v>44</v>
      </c>
      <c r="E218" s="35" t="s">
        <v>45</v>
      </c>
      <c r="F218" s="35" t="s">
        <v>25</v>
      </c>
      <c r="G218" s="35" t="s">
        <v>25</v>
      </c>
      <c r="H218" s="35" t="s">
        <v>25</v>
      </c>
      <c r="I218" s="54">
        <v>44562</v>
      </c>
      <c r="J218" s="55">
        <f>EFEITO!$J$218*EFEITO!$Y$218</f>
        <v>0</v>
      </c>
      <c r="K218" s="55">
        <f ca="1">EFEITO!$L$218*EFEITO!$Z$218</f>
        <v>3617.5357273595555</v>
      </c>
      <c r="L218" s="55">
        <f>EFEITO!$N$218*EFEITO!$AA$218</f>
        <v>2576.825039849432</v>
      </c>
      <c r="M218" s="55">
        <f>$J$218-EFEITO!$K$218*EFEITO!$Y$218</f>
        <v>0</v>
      </c>
      <c r="N218" s="55">
        <f ca="1">$K$218-EFEITO!$M$218*EFEITO!$Z$218</f>
        <v>0</v>
      </c>
      <c r="O218" s="55">
        <f>$L$218-EFEITO!$O$218*EFEITO!$AA$218</f>
        <v>0</v>
      </c>
      <c r="P218" s="39"/>
      <c r="Q218" s="39"/>
      <c r="R218" s="39"/>
      <c r="S218" s="39"/>
      <c r="T218" s="39"/>
      <c r="U218" s="39"/>
      <c r="V218" s="39"/>
      <c r="W218" s="39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11.25" customHeight="1" x14ac:dyDescent="0.2">
      <c r="A219" s="35" t="s">
        <v>21</v>
      </c>
      <c r="B219" s="35" t="s">
        <v>43</v>
      </c>
      <c r="C219" s="35" t="s">
        <v>23</v>
      </c>
      <c r="D219" s="35" t="s">
        <v>44</v>
      </c>
      <c r="E219" s="35" t="s">
        <v>45</v>
      </c>
      <c r="F219" s="35" t="s">
        <v>25</v>
      </c>
      <c r="G219" s="35" t="s">
        <v>25</v>
      </c>
      <c r="H219" s="35" t="s">
        <v>25</v>
      </c>
      <c r="I219" s="54">
        <v>44593</v>
      </c>
      <c r="J219" s="55">
        <f>EFEITO!$J$219*EFEITO!$Y$219</f>
        <v>0</v>
      </c>
      <c r="K219" s="55">
        <f ca="1">EFEITO!$L$219*EFEITO!$Z$219</f>
        <v>3267.4958188799619</v>
      </c>
      <c r="L219" s="55">
        <f>EFEITO!$N$219*EFEITO!$AA$219</f>
        <v>2327.486354872522</v>
      </c>
      <c r="M219" s="55">
        <f>$J$219-EFEITO!$K$219*EFEITO!$Y$219</f>
        <v>0</v>
      </c>
      <c r="N219" s="55">
        <f ca="1">$K$219-EFEITO!$M$219*EFEITO!$Z$219</f>
        <v>0</v>
      </c>
      <c r="O219" s="55">
        <f>$L$219-EFEITO!$O$219*EFEITO!$AA$219</f>
        <v>0</v>
      </c>
      <c r="P219" s="39"/>
      <c r="Q219" s="39"/>
      <c r="R219" s="39"/>
      <c r="S219" s="39"/>
      <c r="T219" s="39"/>
      <c r="U219" s="39"/>
      <c r="V219" s="39"/>
      <c r="W219" s="39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11.25" customHeight="1" x14ac:dyDescent="0.2">
      <c r="A220" s="35" t="s">
        <v>21</v>
      </c>
      <c r="B220" s="35" t="s">
        <v>43</v>
      </c>
      <c r="C220" s="35" t="s">
        <v>23</v>
      </c>
      <c r="D220" s="35" t="s">
        <v>44</v>
      </c>
      <c r="E220" s="35" t="s">
        <v>45</v>
      </c>
      <c r="F220" s="35" t="s">
        <v>25</v>
      </c>
      <c r="G220" s="35" t="s">
        <v>25</v>
      </c>
      <c r="H220" s="35" t="s">
        <v>25</v>
      </c>
      <c r="I220" s="54">
        <v>44621</v>
      </c>
      <c r="J220" s="55">
        <f>EFEITO!$J$220*EFEITO!$Y$220</f>
        <v>0</v>
      </c>
      <c r="K220" s="55">
        <f ca="1">EFEITO!$L$220*EFEITO!$Z$220</f>
        <v>3627.8108714440841</v>
      </c>
      <c r="L220" s="55">
        <f>EFEITO!$N$220*EFEITO!$AA$220</f>
        <v>2584.1441793301633</v>
      </c>
      <c r="M220" s="55">
        <f>$J$220-EFEITO!$K$220*EFEITO!$Y$220</f>
        <v>0</v>
      </c>
      <c r="N220" s="55">
        <f ca="1">$K$220-EFEITO!$M$220*EFEITO!$Z$220</f>
        <v>0</v>
      </c>
      <c r="O220" s="55">
        <f>$L$220-EFEITO!$O$220*EFEITO!$AA$220</f>
        <v>0</v>
      </c>
      <c r="P220" s="39"/>
      <c r="Q220" s="39"/>
      <c r="R220" s="39"/>
      <c r="S220" s="39"/>
      <c r="T220" s="39"/>
      <c r="U220" s="39"/>
      <c r="V220" s="39"/>
      <c r="W220" s="39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11.25" customHeight="1" x14ac:dyDescent="0.2">
      <c r="A221" s="35" t="s">
        <v>21</v>
      </c>
      <c r="B221" s="35" t="s">
        <v>43</v>
      </c>
      <c r="C221" s="35" t="s">
        <v>23</v>
      </c>
      <c r="D221" s="35" t="s">
        <v>44</v>
      </c>
      <c r="E221" s="35" t="s">
        <v>45</v>
      </c>
      <c r="F221" s="35" t="s">
        <v>25</v>
      </c>
      <c r="G221" s="35" t="s">
        <v>25</v>
      </c>
      <c r="H221" s="35" t="s">
        <v>25</v>
      </c>
      <c r="I221" s="54">
        <v>44652</v>
      </c>
      <c r="J221" s="55">
        <f>EFEITO!$J$221*EFEITO!$Y$221</f>
        <v>0</v>
      </c>
      <c r="K221" s="55">
        <f ca="1">EFEITO!$L$221*EFEITO!$Z$221</f>
        <v>3510.6742288804626</v>
      </c>
      <c r="L221" s="55">
        <f>EFEITO!$N$221*EFEITO!$AA$221</f>
        <v>2500.7059892498273</v>
      </c>
      <c r="M221" s="55">
        <f>$J$221-EFEITO!$K$221*EFEITO!$Y$221</f>
        <v>0</v>
      </c>
      <c r="N221" s="55">
        <f ca="1">$K$221-EFEITO!$M$221*EFEITO!$Z$221</f>
        <v>0</v>
      </c>
      <c r="O221" s="55">
        <f>$L$221-EFEITO!$O$221*EFEITO!$AA$221</f>
        <v>0</v>
      </c>
      <c r="P221" s="39"/>
      <c r="Q221" s="39"/>
      <c r="R221" s="39"/>
      <c r="S221" s="39"/>
      <c r="T221" s="39"/>
      <c r="U221" s="39"/>
      <c r="V221" s="39"/>
      <c r="W221" s="39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11.25" customHeight="1" x14ac:dyDescent="0.2">
      <c r="A222" s="35" t="s">
        <v>21</v>
      </c>
      <c r="B222" s="35" t="s">
        <v>43</v>
      </c>
      <c r="C222" s="35" t="s">
        <v>23</v>
      </c>
      <c r="D222" s="35" t="s">
        <v>44</v>
      </c>
      <c r="E222" s="35" t="s">
        <v>45</v>
      </c>
      <c r="F222" s="35" t="s">
        <v>25</v>
      </c>
      <c r="G222" s="35" t="s">
        <v>25</v>
      </c>
      <c r="H222" s="35" t="s">
        <v>25</v>
      </c>
      <c r="I222" s="54">
        <v>44682</v>
      </c>
      <c r="J222" s="55">
        <f>EFEITO!$J$222*EFEITO!$Y$222</f>
        <v>0</v>
      </c>
      <c r="K222" s="55">
        <f ca="1">EFEITO!$L$222*EFEITO!$Z$222</f>
        <v>3627.8108714440841</v>
      </c>
      <c r="L222" s="55">
        <f>EFEITO!$N$222*EFEITO!$AA$222</f>
        <v>2584.1441793301633</v>
      </c>
      <c r="M222" s="55">
        <f>$J$222-EFEITO!$K$222*EFEITO!$Y$222</f>
        <v>0</v>
      </c>
      <c r="N222" s="55">
        <f ca="1">$K$222-EFEITO!$M$222*EFEITO!$Z$222</f>
        <v>0</v>
      </c>
      <c r="O222" s="55">
        <f>$L$222-EFEITO!$O$222*EFEITO!$AA$222</f>
        <v>0</v>
      </c>
      <c r="P222" s="39"/>
      <c r="Q222" s="39"/>
      <c r="R222" s="39"/>
      <c r="S222" s="39"/>
      <c r="T222" s="39"/>
      <c r="U222" s="39"/>
      <c r="V222" s="39"/>
      <c r="W222" s="39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11.25" customHeight="1" x14ac:dyDescent="0.2">
      <c r="A223" s="35" t="s">
        <v>21</v>
      </c>
      <c r="B223" s="35" t="s">
        <v>43</v>
      </c>
      <c r="C223" s="35" t="s">
        <v>23</v>
      </c>
      <c r="D223" s="35" t="s">
        <v>44</v>
      </c>
      <c r="E223" s="35" t="s">
        <v>45</v>
      </c>
      <c r="F223" s="35" t="s">
        <v>25</v>
      </c>
      <c r="G223" s="35" t="s">
        <v>25</v>
      </c>
      <c r="H223" s="35" t="s">
        <v>25</v>
      </c>
      <c r="I223" s="54">
        <v>44713</v>
      </c>
      <c r="J223" s="55">
        <f>EFEITO!$J$223*EFEITO!$Y$223</f>
        <v>0</v>
      </c>
      <c r="K223" s="55">
        <f ca="1">EFEITO!$L$223*EFEITO!$Z$223</f>
        <v>3510.6742288804626</v>
      </c>
      <c r="L223" s="55">
        <f>EFEITO!$N$223*EFEITO!$AA$223</f>
        <v>2500.7059892498273</v>
      </c>
      <c r="M223" s="55">
        <f>$J$223-EFEITO!$K$223*EFEITO!$Y$223</f>
        <v>0</v>
      </c>
      <c r="N223" s="55">
        <f ca="1">$K$223-EFEITO!$M$223*EFEITO!$Z$223</f>
        <v>0</v>
      </c>
      <c r="O223" s="55">
        <f>$L$223-EFEITO!$O$223*EFEITO!$AA$223</f>
        <v>0</v>
      </c>
      <c r="P223" s="39"/>
      <c r="Q223" s="39"/>
      <c r="R223" s="39"/>
      <c r="S223" s="39"/>
      <c r="T223" s="39"/>
      <c r="U223" s="39"/>
      <c r="V223" s="39"/>
      <c r="W223" s="39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11.25" customHeight="1" x14ac:dyDescent="0.2">
      <c r="A224" s="35" t="s">
        <v>21</v>
      </c>
      <c r="B224" s="35" t="s">
        <v>43</v>
      </c>
      <c r="C224" s="35" t="s">
        <v>23</v>
      </c>
      <c r="D224" s="35" t="s">
        <v>44</v>
      </c>
      <c r="E224" s="35" t="s">
        <v>45</v>
      </c>
      <c r="F224" s="35" t="s">
        <v>25</v>
      </c>
      <c r="G224" s="35" t="s">
        <v>25</v>
      </c>
      <c r="H224" s="35" t="s">
        <v>25</v>
      </c>
      <c r="I224" s="54">
        <v>44743</v>
      </c>
      <c r="J224" s="55">
        <f>EFEITO!$J$224*EFEITO!$Y$224</f>
        <v>0</v>
      </c>
      <c r="K224" s="55">
        <f ca="1">EFEITO!$L$224*EFEITO!$Z$224</f>
        <v>3688.4342215428001</v>
      </c>
      <c r="L224" s="55">
        <f>EFEITO!$N$224*EFEITO!$AA$224</f>
        <v>2627.3271022664771</v>
      </c>
      <c r="M224" s="55">
        <f>$J$224-EFEITO!$K$224*EFEITO!$Y$224</f>
        <v>0</v>
      </c>
      <c r="N224" s="55">
        <f ca="1">$K$224-EFEITO!$M$224*EFEITO!$Z$224</f>
        <v>0</v>
      </c>
      <c r="O224" s="55">
        <f>$L$224-EFEITO!$O$224*EFEITO!$AA$224</f>
        <v>0</v>
      </c>
      <c r="P224" s="39"/>
      <c r="Q224" s="39"/>
      <c r="R224" s="39"/>
      <c r="S224" s="39"/>
      <c r="T224" s="39"/>
      <c r="U224" s="39"/>
      <c r="V224" s="39"/>
      <c r="W224" s="39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11.25" customHeight="1" x14ac:dyDescent="0.2">
      <c r="A225" s="35" t="s">
        <v>21</v>
      </c>
      <c r="B225" s="35" t="s">
        <v>43</v>
      </c>
      <c r="C225" s="35" t="s">
        <v>23</v>
      </c>
      <c r="D225" s="35" t="s">
        <v>44</v>
      </c>
      <c r="E225" s="35" t="s">
        <v>45</v>
      </c>
      <c r="F225" s="35" t="s">
        <v>25</v>
      </c>
      <c r="G225" s="35" t="s">
        <v>25</v>
      </c>
      <c r="H225" s="35" t="s">
        <v>25</v>
      </c>
      <c r="I225" s="54">
        <v>44774</v>
      </c>
      <c r="J225" s="55">
        <f>EFEITO!$J$225*EFEITO!$Y$225</f>
        <v>0</v>
      </c>
      <c r="K225" s="55">
        <f ca="1">EFEITO!$L$225*EFEITO!$Z$225</f>
        <v>3688.4342215428001</v>
      </c>
      <c r="L225" s="55">
        <f>EFEITO!$N$225*EFEITO!$AA$225</f>
        <v>2627.3271022664771</v>
      </c>
      <c r="M225" s="55">
        <f>$J$225-EFEITO!$K$225*EFEITO!$Y$225</f>
        <v>0</v>
      </c>
      <c r="N225" s="55">
        <f ca="1">$K$225-EFEITO!$M$225*EFEITO!$Z$225</f>
        <v>0</v>
      </c>
      <c r="O225" s="55">
        <f>$L$225-EFEITO!$O$225*EFEITO!$AA$225</f>
        <v>0</v>
      </c>
      <c r="P225" s="39"/>
      <c r="Q225" s="39"/>
      <c r="R225" s="39"/>
      <c r="S225" s="39"/>
      <c r="T225" s="39"/>
      <c r="U225" s="39"/>
      <c r="V225" s="39"/>
      <c r="W225" s="39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</sheetData>
  <mergeCells count="1">
    <mergeCell ref="Q1:A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C153-A9DD-45A1-985F-B5FFF2F5023B}">
  <dimension ref="A1:BD103"/>
  <sheetViews>
    <sheetView showGridLines="0" topLeftCell="E41" workbookViewId="0">
      <selection activeCell="L53" sqref="L53:BD103"/>
    </sheetView>
  </sheetViews>
  <sheetFormatPr defaultRowHeight="11.25" customHeight="1" x14ac:dyDescent="0.3"/>
  <cols>
    <col min="1" max="1" width="9" style="9" bestFit="1" customWidth="1"/>
    <col min="2" max="2" width="21.33203125" style="9" bestFit="1" customWidth="1"/>
    <col min="3" max="3" width="30.33203125" style="9" bestFit="1" customWidth="1"/>
    <col min="4" max="4" width="51.5546875" style="9" bestFit="1" customWidth="1"/>
    <col min="5" max="5" width="60.5546875" style="9" bestFit="1" customWidth="1"/>
    <col min="6" max="6" width="69.5546875" style="9" bestFit="1" customWidth="1"/>
    <col min="7" max="7" width="70.6640625" style="9" bestFit="1" customWidth="1"/>
    <col min="8" max="9" width="7.109375" style="9" bestFit="1" customWidth="1"/>
    <col min="10" max="10" width="8.88671875" style="9"/>
    <col min="11" max="11" width="14.109375" style="9" bestFit="1" customWidth="1"/>
    <col min="12" max="12" width="12.44140625" style="9" bestFit="1" customWidth="1"/>
    <col min="13" max="13" width="6.33203125" style="9" bestFit="1" customWidth="1"/>
    <col min="14" max="14" width="3.77734375" style="9" bestFit="1" customWidth="1"/>
    <col min="15" max="15" width="3.88671875" style="9" bestFit="1" customWidth="1"/>
    <col min="16" max="16" width="3.77734375" style="9" bestFit="1" customWidth="1"/>
    <col min="17" max="18" width="7.88671875" style="9" bestFit="1" customWidth="1"/>
    <col min="19" max="19" width="8" style="9" bestFit="1" customWidth="1"/>
    <col min="20" max="20" width="7.109375" style="9" bestFit="1" customWidth="1"/>
    <col min="21" max="21" width="7" style="9" bestFit="1" customWidth="1"/>
    <col min="22" max="22" width="9.21875" style="9" bestFit="1" customWidth="1"/>
    <col min="23" max="23" width="9.33203125" style="9" bestFit="1" customWidth="1"/>
    <col min="24" max="24" width="7.88671875" style="9" bestFit="1" customWidth="1"/>
    <col min="25" max="25" width="7.109375" style="9" bestFit="1" customWidth="1"/>
    <col min="26" max="26" width="9.33203125" style="9" bestFit="1" customWidth="1"/>
    <col min="27" max="27" width="11.109375" style="9" bestFit="1" customWidth="1"/>
    <col min="28" max="28" width="7.77734375" style="9" bestFit="1" customWidth="1"/>
    <col min="29" max="29" width="6.88671875" style="9" bestFit="1" customWidth="1"/>
    <col min="30" max="30" width="14.44140625" style="9" bestFit="1" customWidth="1"/>
    <col min="31" max="31" width="17.5546875" style="9" bestFit="1" customWidth="1"/>
    <col min="32" max="32" width="18.109375" style="9" bestFit="1" customWidth="1"/>
    <col min="33" max="33" width="3.5546875" style="9" bestFit="1" customWidth="1"/>
    <col min="34" max="34" width="8.88671875" style="9"/>
    <col min="35" max="35" width="12.44140625" style="9" bestFit="1" customWidth="1"/>
    <col min="36" max="36" width="6.33203125" style="9" bestFit="1" customWidth="1"/>
    <col min="37" max="37" width="3.77734375" style="9" bestFit="1" customWidth="1"/>
    <col min="38" max="38" width="3.88671875" style="9" bestFit="1" customWidth="1"/>
    <col min="39" max="39" width="3.77734375" style="9" bestFit="1" customWidth="1"/>
    <col min="40" max="41" width="7.88671875" style="9" bestFit="1" customWidth="1"/>
    <col min="42" max="42" width="8" style="9" bestFit="1" customWidth="1"/>
    <col min="43" max="43" width="7.109375" style="9" bestFit="1" customWidth="1"/>
    <col min="44" max="44" width="7" style="9" bestFit="1" customWidth="1"/>
    <col min="45" max="45" width="9.21875" style="9" bestFit="1" customWidth="1"/>
    <col min="46" max="46" width="9.33203125" style="9" bestFit="1" customWidth="1"/>
    <col min="47" max="47" width="7.88671875" style="9" bestFit="1" customWidth="1"/>
    <col min="48" max="48" width="7.109375" style="9" bestFit="1" customWidth="1"/>
    <col min="49" max="49" width="9.33203125" style="9" bestFit="1" customWidth="1"/>
    <col min="50" max="50" width="11.109375" style="9" bestFit="1" customWidth="1"/>
    <col min="51" max="51" width="7.77734375" style="9" bestFit="1" customWidth="1"/>
    <col min="52" max="52" width="6.88671875" style="9" bestFit="1" customWidth="1"/>
    <col min="53" max="53" width="14.44140625" style="9" bestFit="1" customWidth="1"/>
    <col min="54" max="54" width="17.5546875" style="9" bestFit="1" customWidth="1"/>
    <col min="55" max="55" width="18.109375" style="9" bestFit="1" customWidth="1"/>
    <col min="56" max="56" width="3.5546875" style="9" bestFit="1" customWidth="1"/>
    <col min="57" max="16384" width="8.88671875" style="9"/>
  </cols>
  <sheetData>
    <row r="1" spans="1:56" ht="11.25" customHeight="1" x14ac:dyDescent="0.3">
      <c r="A1" s="92" t="s">
        <v>58</v>
      </c>
      <c r="B1" s="92" t="s">
        <v>59</v>
      </c>
      <c r="C1" s="92" t="s">
        <v>60</v>
      </c>
      <c r="D1" s="92" t="s">
        <v>61</v>
      </c>
      <c r="E1" s="92" t="s">
        <v>62</v>
      </c>
      <c r="F1" s="92" t="s">
        <v>15</v>
      </c>
      <c r="G1" s="92" t="s">
        <v>64</v>
      </c>
      <c r="H1" s="92" t="s">
        <v>65</v>
      </c>
      <c r="I1" s="92" t="s">
        <v>468</v>
      </c>
      <c r="J1" s="80"/>
      <c r="L1" s="93" t="s">
        <v>670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I1" s="93" t="s">
        <v>671</v>
      </c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</row>
    <row r="2" spans="1:56" ht="11.2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80"/>
      <c r="L2" s="93" t="s">
        <v>367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I2" s="93" t="s">
        <v>367</v>
      </c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</row>
    <row r="3" spans="1:56" ht="11.25" customHeight="1" x14ac:dyDescent="0.3">
      <c r="A3" s="92"/>
      <c r="B3" s="92"/>
      <c r="C3" s="92"/>
      <c r="D3" s="92"/>
      <c r="E3" s="92"/>
      <c r="F3" s="92"/>
      <c r="G3" s="92"/>
      <c r="H3" s="92"/>
      <c r="I3" s="92"/>
      <c r="J3" s="80"/>
      <c r="L3" s="93" t="s">
        <v>368</v>
      </c>
      <c r="M3" s="93"/>
      <c r="N3" s="93"/>
      <c r="O3" s="93"/>
      <c r="P3" s="93"/>
      <c r="Q3" s="93"/>
      <c r="R3" s="93"/>
      <c r="S3" s="93"/>
      <c r="T3" s="93" t="s">
        <v>377</v>
      </c>
      <c r="U3" s="93"/>
      <c r="V3" s="93"/>
      <c r="W3" s="93"/>
      <c r="X3" s="93"/>
      <c r="Y3" s="93"/>
      <c r="Z3" s="93"/>
      <c r="AA3" s="10" t="s">
        <v>385</v>
      </c>
      <c r="AB3" s="93" t="s">
        <v>387</v>
      </c>
      <c r="AC3" s="93"/>
      <c r="AD3" s="93" t="s">
        <v>390</v>
      </c>
      <c r="AE3" s="93"/>
      <c r="AF3" s="93"/>
      <c r="AG3" s="93"/>
      <c r="AI3" s="93" t="s">
        <v>368</v>
      </c>
      <c r="AJ3" s="93"/>
      <c r="AK3" s="93"/>
      <c r="AL3" s="93"/>
      <c r="AM3" s="93"/>
      <c r="AN3" s="93"/>
      <c r="AO3" s="93"/>
      <c r="AP3" s="93"/>
      <c r="AQ3" s="93" t="s">
        <v>377</v>
      </c>
      <c r="AR3" s="93"/>
      <c r="AS3" s="93"/>
      <c r="AT3" s="93"/>
      <c r="AU3" s="93"/>
      <c r="AV3" s="93"/>
      <c r="AW3" s="93"/>
      <c r="AX3" s="10" t="s">
        <v>385</v>
      </c>
      <c r="AY3" s="93" t="s">
        <v>387</v>
      </c>
      <c r="AZ3" s="93"/>
      <c r="BA3" s="93" t="s">
        <v>390</v>
      </c>
      <c r="BB3" s="93"/>
      <c r="BC3" s="93"/>
      <c r="BD3" s="93"/>
    </row>
    <row r="4" spans="1:56" ht="11.25" customHeight="1" x14ac:dyDescent="0.3">
      <c r="A4" s="92"/>
      <c r="B4" s="92"/>
      <c r="C4" s="92"/>
      <c r="D4" s="92"/>
      <c r="E4" s="92"/>
      <c r="F4" s="92"/>
      <c r="G4" s="92"/>
      <c r="H4" s="92"/>
      <c r="I4" s="92"/>
      <c r="J4" s="80"/>
      <c r="L4" s="10" t="s">
        <v>453</v>
      </c>
      <c r="M4" s="10" t="s">
        <v>369</v>
      </c>
      <c r="N4" s="10" t="s">
        <v>370</v>
      </c>
      <c r="O4" s="10" t="s">
        <v>371</v>
      </c>
      <c r="P4" s="10" t="s">
        <v>372</v>
      </c>
      <c r="Q4" s="10" t="s">
        <v>373</v>
      </c>
      <c r="R4" s="10" t="s">
        <v>374</v>
      </c>
      <c r="S4" s="10" t="s">
        <v>375</v>
      </c>
      <c r="T4" s="10" t="s">
        <v>378</v>
      </c>
      <c r="U4" s="10" t="s">
        <v>379</v>
      </c>
      <c r="V4" s="10" t="s">
        <v>380</v>
      </c>
      <c r="W4" s="10" t="s">
        <v>381</v>
      </c>
      <c r="X4" s="10" t="s">
        <v>382</v>
      </c>
      <c r="Y4" s="10" t="s">
        <v>383</v>
      </c>
      <c r="Z4" s="10" t="s">
        <v>384</v>
      </c>
      <c r="AA4" s="10" t="s">
        <v>386</v>
      </c>
      <c r="AB4" s="10" t="s">
        <v>388</v>
      </c>
      <c r="AC4" s="10" t="s">
        <v>389</v>
      </c>
      <c r="AD4" s="10" t="s">
        <v>391</v>
      </c>
      <c r="AE4" s="10" t="s">
        <v>392</v>
      </c>
      <c r="AF4" s="10" t="s">
        <v>393</v>
      </c>
      <c r="AG4" s="10" t="s">
        <v>394</v>
      </c>
      <c r="AI4" s="10" t="s">
        <v>453</v>
      </c>
      <c r="AJ4" s="10" t="s">
        <v>369</v>
      </c>
      <c r="AK4" s="10" t="s">
        <v>370</v>
      </c>
      <c r="AL4" s="10" t="s">
        <v>371</v>
      </c>
      <c r="AM4" s="10" t="s">
        <v>372</v>
      </c>
      <c r="AN4" s="10" t="s">
        <v>373</v>
      </c>
      <c r="AO4" s="10" t="s">
        <v>374</v>
      </c>
      <c r="AP4" s="10" t="s">
        <v>375</v>
      </c>
      <c r="AQ4" s="10" t="s">
        <v>378</v>
      </c>
      <c r="AR4" s="10" t="s">
        <v>379</v>
      </c>
      <c r="AS4" s="10" t="s">
        <v>380</v>
      </c>
      <c r="AT4" s="10" t="s">
        <v>381</v>
      </c>
      <c r="AU4" s="10" t="s">
        <v>382</v>
      </c>
      <c r="AV4" s="10" t="s">
        <v>383</v>
      </c>
      <c r="AW4" s="10" t="s">
        <v>384</v>
      </c>
      <c r="AX4" s="10" t="s">
        <v>386</v>
      </c>
      <c r="AY4" s="10" t="s">
        <v>388</v>
      </c>
      <c r="AZ4" s="10" t="s">
        <v>389</v>
      </c>
      <c r="BA4" s="10" t="s">
        <v>391</v>
      </c>
      <c r="BB4" s="10" t="s">
        <v>392</v>
      </c>
      <c r="BC4" s="10" t="s">
        <v>393</v>
      </c>
      <c r="BD4" s="10" t="s">
        <v>394</v>
      </c>
    </row>
    <row r="5" spans="1:56" ht="11.25" customHeight="1" x14ac:dyDescent="0.3">
      <c r="A5" s="91" t="s">
        <v>33</v>
      </c>
      <c r="B5" s="91" t="s">
        <v>34</v>
      </c>
      <c r="C5" s="91" t="s">
        <v>25</v>
      </c>
      <c r="D5" s="91" t="s">
        <v>25</v>
      </c>
      <c r="E5" s="91" t="s">
        <v>25</v>
      </c>
      <c r="F5" s="91" t="s">
        <v>25</v>
      </c>
      <c r="G5" s="18" t="s">
        <v>72</v>
      </c>
      <c r="H5" s="18" t="s">
        <v>71</v>
      </c>
      <c r="I5" s="18">
        <f>'MERCADO TUSD'!$U$2</f>
        <v>8229</v>
      </c>
      <c r="J5" s="15"/>
      <c r="L5" s="13">
        <f>('TUSD BE'!$L$5+'TUSD BF'!$L$5+'TUSD CVA'!$L$5)*1</f>
        <v>0</v>
      </c>
      <c r="M5" s="13">
        <f>('TUSD BE'!$M$5+'TUSD BF'!$M$5+'TUSD CVA'!$M$5)*1</f>
        <v>0</v>
      </c>
      <c r="N5" s="13">
        <f ca="1">('TUSD BE'!$N$5+'TUSD BF'!$N$5+'TUSD CVA'!$N$5)*1</f>
        <v>0</v>
      </c>
      <c r="O5" s="13">
        <f>('TUSD BE'!$O$5+'TUSD BF'!$O$5+'TUSD CVA'!$O$5)*1</f>
        <v>0</v>
      </c>
      <c r="P5" s="13">
        <f>('TUSD BE'!$P$5+'TUSD BF'!$P$5+'TUSD CVA'!$P$5)*1</f>
        <v>0</v>
      </c>
      <c r="Q5" s="13">
        <f>('TUSD BE'!$Q$5+'TUSD BF'!$Q$5+'TUSD CVA'!$Q$5)*1</f>
        <v>0</v>
      </c>
      <c r="R5" s="13">
        <f>('TUSD BE'!$R$5+'TUSD BF'!$R$5+'TUSD CVA'!$R$5)*1</f>
        <v>0</v>
      </c>
      <c r="S5" s="13">
        <f>('TUSD BE'!$S$5+'TUSD BF'!$S$5+'TUSD CVA'!$S$5)*1</f>
        <v>0</v>
      </c>
      <c r="T5" s="13">
        <f>('TUSD BE'!$U$5+'TUSD BF'!$U$5+'TUSD CVA'!$U$5)*1</f>
        <v>0</v>
      </c>
      <c r="U5" s="13">
        <f>('TUSD BE'!$V$5+'TUSD BF'!$V$5+'TUSD CVA'!$V$5)*1</f>
        <v>0</v>
      </c>
      <c r="V5" s="13">
        <f>('TUSD BE'!$W$5+'TUSD BF'!$W$5+'TUSD CVA'!$W$5)*1</f>
        <v>0</v>
      </c>
      <c r="W5" s="13">
        <f>('TUSD BE'!$X$5+'TUSD BF'!$X$5+'TUSD CVA'!$X$5)*1</f>
        <v>0</v>
      </c>
      <c r="X5" s="13">
        <f>('TUSD BE'!$Y$5+'TUSD BF'!$Y$5+'TUSD CVA'!$Y$5)*1</f>
        <v>31.076431728972299</v>
      </c>
      <c r="Y5" s="13">
        <f>('TUSD BE'!$Z$5+'TUSD BF'!$Z$5+'TUSD CVA'!$Z$5)*1</f>
        <v>0</v>
      </c>
      <c r="Z5" s="13">
        <f>('TUSD BE'!$AA$5+'TUSD BF'!$AA$5+'TUSD CVA'!$AA$5)*1</f>
        <v>0</v>
      </c>
      <c r="AA5" s="13">
        <f>('TUSD BE'!$AC$5+'TUSD BF'!$AC$5+'TUSD CVA'!$AC$5)*1</f>
        <v>22.540910564743122</v>
      </c>
      <c r="AB5" s="13">
        <f ca="1">('TUSD BE'!$AE$5+'TUSD BF'!$AE$5+'TUSD CVA'!$AE$5)*1</f>
        <v>0</v>
      </c>
      <c r="AC5" s="13">
        <f ca="1">('TUSD BE'!$AF$5+'TUSD BF'!$AF$5+'TUSD CVA'!$AF$5)*1</f>
        <v>0</v>
      </c>
      <c r="AD5" s="13">
        <f>('TUSD BE'!$AH$5+'TUSD BF'!$AH$5+'TUSD CVA'!$AH$5)*1</f>
        <v>0</v>
      </c>
      <c r="AE5" s="13">
        <f>('TUSD BE'!$AI$5+'TUSD BF'!$AI$5+'TUSD CVA'!$AI$5)*1</f>
        <v>0</v>
      </c>
      <c r="AF5" s="13">
        <f ca="1">('TUSD BE'!$AJ$5+'TUSD BF'!$AJ$5+'TUSD CVA'!$AJ$5)*1</f>
        <v>0</v>
      </c>
      <c r="AG5" s="13">
        <f ca="1">('TUSD BE'!$AK$5+'TUSD BF'!$AK$5+'TUSD CVA'!$AK$5)*1</f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30.246933066110099</v>
      </c>
      <c r="AV5" s="13">
        <v>0</v>
      </c>
      <c r="AW5" s="13">
        <v>0</v>
      </c>
      <c r="AX5" s="13">
        <v>23.228558343112802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1.25" customHeight="1" x14ac:dyDescent="0.3">
      <c r="A6" s="91"/>
      <c r="B6" s="91"/>
      <c r="C6" s="91"/>
      <c r="D6" s="91"/>
      <c r="E6" s="91"/>
      <c r="F6" s="91"/>
      <c r="G6" s="18" t="s">
        <v>73</v>
      </c>
      <c r="H6" s="18" t="s">
        <v>71</v>
      </c>
      <c r="I6" s="18">
        <f>'MERCADO TUSD'!$U$3</f>
        <v>8328</v>
      </c>
      <c r="J6" s="15"/>
      <c r="L6" s="13">
        <f>('TUSD BE'!$L$6+'TUSD BF'!$L$6+'TUSD CVA'!$L$6)*1</f>
        <v>0</v>
      </c>
      <c r="M6" s="13">
        <f>('TUSD BE'!$M$6+'TUSD BF'!$M$6+'TUSD CVA'!$M$6)*1</f>
        <v>0</v>
      </c>
      <c r="N6" s="13">
        <f ca="1">('TUSD BE'!$N$6+'TUSD BF'!$N$6+'TUSD CVA'!$N$6)*1</f>
        <v>0</v>
      </c>
      <c r="O6" s="13">
        <f>('TUSD BE'!$O$6+'TUSD BF'!$O$6+'TUSD CVA'!$O$6)*1</f>
        <v>0</v>
      </c>
      <c r="P6" s="13">
        <f>('TUSD BE'!$P$6+'TUSD BF'!$P$6+'TUSD CVA'!$P$6)*1</f>
        <v>0</v>
      </c>
      <c r="Q6" s="13">
        <f>('TUSD BE'!$Q$6+'TUSD BF'!$Q$6+'TUSD CVA'!$Q$6)*1</f>
        <v>0</v>
      </c>
      <c r="R6" s="13">
        <f>('TUSD BE'!$R$6+'TUSD BF'!$R$6+'TUSD CVA'!$R$6)*1</f>
        <v>0</v>
      </c>
      <c r="S6" s="13">
        <f>('TUSD BE'!$S$6+'TUSD BF'!$S$6+'TUSD CVA'!$S$6)*1</f>
        <v>0</v>
      </c>
      <c r="T6" s="13">
        <f>('TUSD BE'!$U$6+'TUSD BF'!$U$6+'TUSD CVA'!$U$6)*1</f>
        <v>0</v>
      </c>
      <c r="U6" s="13">
        <f>('TUSD BE'!$V$6+'TUSD BF'!$V$6+'TUSD CVA'!$V$6)*1</f>
        <v>0</v>
      </c>
      <c r="V6" s="13">
        <f>('TUSD BE'!$W$6+'TUSD BF'!$W$6+'TUSD CVA'!$W$6)*1</f>
        <v>0</v>
      </c>
      <c r="W6" s="13">
        <f>('TUSD BE'!$X$6+'TUSD BF'!$X$6+'TUSD CVA'!$X$6)*1</f>
        <v>0</v>
      </c>
      <c r="X6" s="13">
        <f>('TUSD BE'!$Y$6+'TUSD BF'!$Y$6+'TUSD CVA'!$Y$6)*1</f>
        <v>12.56074344276356</v>
      </c>
      <c r="Y6" s="13">
        <f>('TUSD BE'!$Z$6+'TUSD BF'!$Z$6+'TUSD CVA'!$Z$6)*1</f>
        <v>0</v>
      </c>
      <c r="Z6" s="13">
        <f>('TUSD BE'!$AA$6+'TUSD BF'!$AA$6+'TUSD CVA'!$AA$6)*1</f>
        <v>0</v>
      </c>
      <c r="AA6" s="13">
        <f>('TUSD BE'!$AC$6+'TUSD BF'!$AC$6+'TUSD CVA'!$AC$6)*1</f>
        <v>6.2987284172720299</v>
      </c>
      <c r="AB6" s="13">
        <f ca="1">('TUSD BE'!$AE$6+'TUSD BF'!$AE$6+'TUSD CVA'!$AE$6)*1</f>
        <v>0</v>
      </c>
      <c r="AC6" s="13">
        <f ca="1">('TUSD BE'!$AF$6+'TUSD BF'!$AF$6+'TUSD CVA'!$AF$6)*1</f>
        <v>0</v>
      </c>
      <c r="AD6" s="13">
        <f>('TUSD BE'!$AH$6+'TUSD BF'!$AH$6+'TUSD CVA'!$AH$6)*1</f>
        <v>0</v>
      </c>
      <c r="AE6" s="13">
        <f>('TUSD BE'!$AI$6+'TUSD BF'!$AI$6+'TUSD CVA'!$AI$6)*1</f>
        <v>0</v>
      </c>
      <c r="AF6" s="13">
        <f ca="1">('TUSD BE'!$AJ$6+'TUSD BF'!$AJ$6+'TUSD CVA'!$AJ$6)*1</f>
        <v>0</v>
      </c>
      <c r="AG6" s="13">
        <f ca="1">('TUSD BE'!$AK$6+'TUSD BF'!$AK$6+'TUSD CVA'!$AK$6)*1</f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12.225429732265299</v>
      </c>
      <c r="AV6" s="13">
        <v>0</v>
      </c>
      <c r="AW6" s="13">
        <v>0</v>
      </c>
      <c r="AX6" s="13">
        <v>6.4908682597559597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1.25" customHeight="1" x14ac:dyDescent="0.3">
      <c r="A7" s="91"/>
      <c r="B7" s="91"/>
      <c r="C7" s="91"/>
      <c r="D7" s="91"/>
      <c r="E7" s="91"/>
      <c r="F7" s="91"/>
      <c r="G7" s="18" t="s">
        <v>74</v>
      </c>
      <c r="H7" s="18" t="s">
        <v>68</v>
      </c>
      <c r="I7" s="18">
        <f>'MERCADO TUSD'!$U$4</f>
        <v>2993.7760000000003</v>
      </c>
      <c r="J7" s="15"/>
      <c r="L7" s="13">
        <f>('TUSD BE'!$L$7+'TUSD BF'!$L$7+'TUSD CVA'!$L$7)*1</f>
        <v>0</v>
      </c>
      <c r="M7" s="13">
        <f>('TUSD BE'!$M$7+'TUSD BF'!$M$7+'TUSD CVA'!$M$7)*1</f>
        <v>0.58074182308024946</v>
      </c>
      <c r="N7" s="13">
        <f ca="1">('TUSD BE'!$N$7+'TUSD BF'!$N$7+'TUSD CVA'!$N$7)*1</f>
        <v>0</v>
      </c>
      <c r="O7" s="13">
        <f>('TUSD BE'!$O$7+'TUSD BF'!$O$7+'TUSD CVA'!$O$7)*1</f>
        <v>0</v>
      </c>
      <c r="P7" s="13">
        <f>('TUSD BE'!$P$7+'TUSD BF'!$P$7+'TUSD CVA'!$P$7)*1</f>
        <v>0</v>
      </c>
      <c r="Q7" s="13">
        <f>('TUSD BE'!$Q$7+'TUSD BF'!$Q$7+'TUSD CVA'!$Q$7)*1</f>
        <v>70.597910478024517</v>
      </c>
      <c r="R7" s="13">
        <f>('TUSD BE'!$R$7+'TUSD BF'!$R$7+'TUSD CVA'!$R$7)*1</f>
        <v>13.250155086493958</v>
      </c>
      <c r="S7" s="13">
        <f>('TUSD BE'!$S$7+'TUSD BF'!$S$7+'TUSD CVA'!$S$7)*1</f>
        <v>0</v>
      </c>
      <c r="T7" s="13">
        <f>('TUSD BE'!$U$7+'TUSD BF'!$U$7+'TUSD CVA'!$U$7)*1</f>
        <v>0</v>
      </c>
      <c r="U7" s="13">
        <f>('TUSD BE'!$V$7+'TUSD BF'!$V$7+'TUSD CVA'!$V$7)*1</f>
        <v>0</v>
      </c>
      <c r="V7" s="13">
        <f>('TUSD BE'!$W$7+'TUSD BF'!$W$7+'TUSD CVA'!$W$7)*1</f>
        <v>0</v>
      </c>
      <c r="W7" s="13">
        <f>('TUSD BE'!$X$7+'TUSD BF'!$X$7+'TUSD CVA'!$X$7)*1</f>
        <v>0</v>
      </c>
      <c r="X7" s="13">
        <f>('TUSD BE'!$Y$7+'TUSD BF'!$Y$7+'TUSD CVA'!$Y$7)*1</f>
        <v>0</v>
      </c>
      <c r="Y7" s="13">
        <f>('TUSD BE'!$Z$7+'TUSD BF'!$Z$7+'TUSD CVA'!$Z$7)*1</f>
        <v>0</v>
      </c>
      <c r="Z7" s="13">
        <f>('TUSD BE'!$AA$7+'TUSD BF'!$AA$7+'TUSD CVA'!$AA$7)*1</f>
        <v>0</v>
      </c>
      <c r="AA7" s="13">
        <f>('TUSD BE'!$AC$7+'TUSD BF'!$AC$7+'TUSD CVA'!$AC$7)*1</f>
        <v>0</v>
      </c>
      <c r="AB7" s="13">
        <f ca="1">('TUSD BE'!$AE$7+'TUSD BF'!$AE$7+'TUSD CVA'!$AE$7)*1</f>
        <v>0</v>
      </c>
      <c r="AC7" s="13">
        <f ca="1">('TUSD BE'!$AF$7+'TUSD BF'!$AF$7+'TUSD CVA'!$AF$7)*1</f>
        <v>0</v>
      </c>
      <c r="AD7" s="13">
        <f>('TUSD BE'!$AH$7+'TUSD BF'!$AH$7+'TUSD CVA'!$AH$7)*1</f>
        <v>7.0006537693757238</v>
      </c>
      <c r="AE7" s="13">
        <f>('TUSD BE'!$AI$7+'TUSD BF'!$AI$7+'TUSD CVA'!$AI$7)*1</f>
        <v>0</v>
      </c>
      <c r="AF7" s="13">
        <f ca="1">('TUSD BE'!$AJ$7+'TUSD BF'!$AJ$7+'TUSD CVA'!$AJ$7)*1</f>
        <v>0</v>
      </c>
      <c r="AG7" s="13">
        <f ca="1">('TUSD BE'!$AK$7+'TUSD BF'!$AK$7+'TUSD CVA'!$AK$7)*1</f>
        <v>0</v>
      </c>
      <c r="AI7" s="13">
        <v>0</v>
      </c>
      <c r="AJ7" s="13">
        <v>0.67482751831728505</v>
      </c>
      <c r="AK7" s="13">
        <v>0</v>
      </c>
      <c r="AL7" s="13">
        <v>0</v>
      </c>
      <c r="AM7" s="13">
        <v>0</v>
      </c>
      <c r="AN7" s="13">
        <v>61.535569762952399</v>
      </c>
      <c r="AO7" s="13">
        <v>10.7355989388252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9.9915535566959299</v>
      </c>
      <c r="BB7" s="13">
        <v>0</v>
      </c>
      <c r="BC7" s="13">
        <v>0</v>
      </c>
      <c r="BD7" s="13">
        <v>0</v>
      </c>
    </row>
    <row r="8" spans="1:56" ht="11.25" customHeight="1" x14ac:dyDescent="0.3">
      <c r="A8" s="91"/>
      <c r="B8" s="91"/>
      <c r="C8" s="91"/>
      <c r="D8" s="91"/>
      <c r="E8" s="17" t="s">
        <v>75</v>
      </c>
      <c r="F8" s="17" t="s">
        <v>25</v>
      </c>
      <c r="G8" s="18" t="s">
        <v>74</v>
      </c>
      <c r="H8" s="18" t="s">
        <v>68</v>
      </c>
      <c r="I8" s="18">
        <f>'MERCADO TUSD'!$U$5</f>
        <v>0</v>
      </c>
      <c r="J8" s="15"/>
      <c r="L8" s="13">
        <f>('TUSD BE'!$L$8+'TUSD BF'!$L$8+'TUSD CVA'!$L$8)*1</f>
        <v>0</v>
      </c>
      <c r="M8" s="13">
        <f>('TUSD BE'!$M$8+'TUSD BF'!$M$8+'TUSD CVA'!$M$8)*1</f>
        <v>0.58074182308024946</v>
      </c>
      <c r="N8" s="13">
        <f ca="1">('TUSD BE'!$N$8+'TUSD BF'!$N$8+'TUSD CVA'!$N$8)*1</f>
        <v>0</v>
      </c>
      <c r="O8" s="13">
        <f>('TUSD BE'!$O$8+'TUSD BF'!$O$8+'TUSD CVA'!$O$8)*1</f>
        <v>0</v>
      </c>
      <c r="P8" s="13">
        <f>('TUSD BE'!$P$8+'TUSD BF'!$P$8+'TUSD CVA'!$P$8)*1</f>
        <v>0</v>
      </c>
      <c r="Q8" s="13">
        <f>('TUSD BE'!$Q$8+'TUSD BF'!$Q$8+'TUSD CVA'!$Q$8)*1</f>
        <v>0</v>
      </c>
      <c r="R8" s="13">
        <f>('TUSD BE'!$R$8+'TUSD BF'!$R$8+'TUSD CVA'!$R$8)*1</f>
        <v>0</v>
      </c>
      <c r="S8" s="13">
        <f>('TUSD BE'!$S$8+'TUSD BF'!$S$8+'TUSD CVA'!$S$8)*1</f>
        <v>0</v>
      </c>
      <c r="T8" s="13">
        <f>('TUSD BE'!$U$8+'TUSD BF'!$U$8+'TUSD CVA'!$U$8)*1</f>
        <v>0</v>
      </c>
      <c r="U8" s="13">
        <f>('TUSD BE'!$V$8+'TUSD BF'!$V$8+'TUSD CVA'!$V$8)*1</f>
        <v>0</v>
      </c>
      <c r="V8" s="13">
        <f>('TUSD BE'!$W$8+'TUSD BF'!$W$8+'TUSD CVA'!$W$8)*1</f>
        <v>0</v>
      </c>
      <c r="W8" s="13">
        <f>('TUSD BE'!$X$8+'TUSD BF'!$X$8+'TUSD CVA'!$X$8)*1</f>
        <v>0</v>
      </c>
      <c r="X8" s="13">
        <f>('TUSD BE'!$Y$8+'TUSD BF'!$Y$8+'TUSD CVA'!$Y$8)*1</f>
        <v>0</v>
      </c>
      <c r="Y8" s="13">
        <f>('TUSD BE'!$Z$8+'TUSD BF'!$Z$8+'TUSD CVA'!$Z$8)*1</f>
        <v>0</v>
      </c>
      <c r="Z8" s="13">
        <f>('TUSD BE'!$AA$8+'TUSD BF'!$AA$8+'TUSD CVA'!$AA$8)*1</f>
        <v>0</v>
      </c>
      <c r="AA8" s="13">
        <f>('TUSD BE'!$AC$8+'TUSD BF'!$AC$8+'TUSD CVA'!$AC$8)*1</f>
        <v>0</v>
      </c>
      <c r="AB8" s="13">
        <f ca="1">('TUSD BE'!$AE$8+'TUSD BF'!$AE$8+'TUSD CVA'!$AE$8)*1</f>
        <v>0</v>
      </c>
      <c r="AC8" s="13">
        <f ca="1">('TUSD BE'!$AF$8+'TUSD BF'!$AF$8+'TUSD CVA'!$AF$8)*1</f>
        <v>0</v>
      </c>
      <c r="AD8" s="13">
        <f>('TUSD BE'!$AH$8+'TUSD BF'!$AH$8+'TUSD CVA'!$AH$8)*1</f>
        <v>7.0006537693757238</v>
      </c>
      <c r="AE8" s="13">
        <f>('TUSD BE'!$AI$8+'TUSD BF'!$AI$8+'TUSD CVA'!$AI$8)*1</f>
        <v>0</v>
      </c>
      <c r="AF8" s="13">
        <f ca="1">('TUSD BE'!$AJ$8+'TUSD BF'!$AJ$8+'TUSD CVA'!$AJ$8)*1</f>
        <v>0</v>
      </c>
      <c r="AG8" s="13">
        <f ca="1">('TUSD BE'!$AK$8+'TUSD BF'!$AK$8+'TUSD CVA'!$AK$8)*1</f>
        <v>0</v>
      </c>
      <c r="AI8" s="13">
        <v>0</v>
      </c>
      <c r="AJ8" s="13">
        <v>0.67482751831728505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9.9915535566959299</v>
      </c>
      <c r="BB8" s="13">
        <v>0</v>
      </c>
      <c r="BC8" s="13">
        <v>0</v>
      </c>
      <c r="BD8" s="13">
        <v>0</v>
      </c>
    </row>
    <row r="9" spans="1:56" ht="11.25" customHeight="1" x14ac:dyDescent="0.3">
      <c r="A9" s="91"/>
      <c r="B9" s="17" t="s">
        <v>76</v>
      </c>
      <c r="C9" s="17" t="s">
        <v>25</v>
      </c>
      <c r="D9" s="17" t="s">
        <v>25</v>
      </c>
      <c r="E9" s="17" t="s">
        <v>25</v>
      </c>
      <c r="F9" s="17" t="s">
        <v>25</v>
      </c>
      <c r="G9" s="18" t="s">
        <v>9</v>
      </c>
      <c r="H9" s="18" t="s">
        <v>71</v>
      </c>
      <c r="I9" s="18">
        <f>'MERCADO TUSD'!$U$6</f>
        <v>0</v>
      </c>
      <c r="J9" s="15"/>
      <c r="L9" s="13">
        <f>('TUSD BE'!$L$9+'TUSD BF'!$L$9+'TUSD CVA'!$L$9)*1</f>
        <v>0</v>
      </c>
      <c r="M9" s="13">
        <f>('TUSD BE'!$M$9+'TUSD BF'!$M$9+'TUSD CVA'!$M$9)*1</f>
        <v>9.4378015861128657E-3</v>
      </c>
      <c r="N9" s="13">
        <f ca="1">('TUSD BE'!$N$9+'TUSD BF'!$N$9+'TUSD CVA'!$N$9)*1</f>
        <v>0</v>
      </c>
      <c r="O9" s="13">
        <f>('TUSD BE'!$O$9+'TUSD BF'!$O$9+'TUSD CVA'!$O$9)*1</f>
        <v>0</v>
      </c>
      <c r="P9" s="13">
        <f>('TUSD BE'!$P$9+'TUSD BF'!$P$9+'TUSD CVA'!$P$9)*1</f>
        <v>0</v>
      </c>
      <c r="Q9" s="13">
        <f>('TUSD BE'!$Q$9+'TUSD BF'!$Q$9+'TUSD CVA'!$Q$9)*1</f>
        <v>0</v>
      </c>
      <c r="R9" s="13">
        <f>('TUSD BE'!$R$9+'TUSD BF'!$R$9+'TUSD CVA'!$R$9)*1</f>
        <v>0</v>
      </c>
      <c r="S9" s="13">
        <f>('TUSD BE'!$S$9+'TUSD BF'!$S$9+'TUSD CVA'!$S$9)*1</f>
        <v>0</v>
      </c>
      <c r="T9" s="13">
        <f>('TUSD BE'!$U$9+'TUSD BF'!$U$9+'TUSD CVA'!$U$9)*1</f>
        <v>0</v>
      </c>
      <c r="U9" s="13">
        <f>('TUSD BE'!$V$9+'TUSD BF'!$V$9+'TUSD CVA'!$V$9)*1</f>
        <v>0</v>
      </c>
      <c r="V9" s="13">
        <f>('TUSD BE'!$W$9+'TUSD BF'!$W$9+'TUSD CVA'!$W$9)*1</f>
        <v>0</v>
      </c>
      <c r="W9" s="13">
        <f>('TUSD BE'!$X$9+'TUSD BF'!$X$9+'TUSD CVA'!$X$9)*1</f>
        <v>0</v>
      </c>
      <c r="X9" s="13">
        <f>('TUSD BE'!$Y$9+'TUSD BF'!$Y$9+'TUSD CVA'!$Y$9)*1</f>
        <v>0</v>
      </c>
      <c r="Y9" s="13">
        <f>('TUSD BE'!$Z$9+'TUSD BF'!$Z$9+'TUSD CVA'!$Z$9)*1</f>
        <v>0</v>
      </c>
      <c r="Z9" s="13">
        <f>('TUSD BE'!$AA$9+'TUSD BF'!$AA$9+'TUSD CVA'!$AA$9)*1</f>
        <v>0</v>
      </c>
      <c r="AA9" s="13">
        <f>('TUSD BE'!$AC$9+'TUSD BF'!$AC$9+'TUSD CVA'!$AC$9)*1</f>
        <v>2.849503995294314</v>
      </c>
      <c r="AB9" s="13">
        <f ca="1">('TUSD BE'!$AE$9+'TUSD BF'!$AE$9+'TUSD CVA'!$AE$9)*1</f>
        <v>0</v>
      </c>
      <c r="AC9" s="13">
        <f ca="1">('TUSD BE'!$AF$9+'TUSD BF'!$AF$9+'TUSD CVA'!$AF$9)*1</f>
        <v>0</v>
      </c>
      <c r="AD9" s="13">
        <f>('TUSD BE'!$AH$9+'TUSD BF'!$AH$9+'TUSD CVA'!$AH$9)*1</f>
        <v>0</v>
      </c>
      <c r="AE9" s="13">
        <f>('TUSD BE'!$AI$9+'TUSD BF'!$AI$9+'TUSD CVA'!$AI$9)*1</f>
        <v>0</v>
      </c>
      <c r="AF9" s="13">
        <f ca="1">('TUSD BE'!$AJ$9+'TUSD BF'!$AJ$9+'TUSD CVA'!$AJ$9)*1</f>
        <v>0</v>
      </c>
      <c r="AG9" s="13">
        <f ca="1">('TUSD BE'!$AK$9+'TUSD BF'!$AK$9+'TUSD CVA'!$AK$9)*1</f>
        <v>0</v>
      </c>
      <c r="AI9" s="13">
        <v>0</v>
      </c>
      <c r="AJ9" s="13">
        <v>1.13796244144005E-2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2.9364507055852802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</row>
    <row r="10" spans="1:56" ht="11.25" customHeight="1" x14ac:dyDescent="0.3">
      <c r="A10" s="91"/>
      <c r="B10" s="91" t="s">
        <v>37</v>
      </c>
      <c r="C10" s="91" t="s">
        <v>25</v>
      </c>
      <c r="D10" s="91" t="s">
        <v>25</v>
      </c>
      <c r="E10" s="91" t="s">
        <v>25</v>
      </c>
      <c r="F10" s="91" t="s">
        <v>25</v>
      </c>
      <c r="G10" s="18" t="s">
        <v>9</v>
      </c>
      <c r="H10" s="18" t="s">
        <v>71</v>
      </c>
      <c r="I10" s="18">
        <f>'MERCADO TUSD'!$U$7</f>
        <v>36616</v>
      </c>
      <c r="J10" s="15"/>
      <c r="L10" s="13">
        <f>('TUSD BE'!$L$10+'TUSD BF'!$L$10+'TUSD CVA'!$L$10)*1</f>
        <v>0</v>
      </c>
      <c r="M10" s="13">
        <f>('TUSD BE'!$M$10+'TUSD BF'!$M$10+'TUSD CVA'!$M$10)*1</f>
        <v>0</v>
      </c>
      <c r="N10" s="13">
        <f ca="1">('TUSD BE'!$N$10+'TUSD BF'!$N$10+'TUSD CVA'!$N$10)*1</f>
        <v>0</v>
      </c>
      <c r="O10" s="13">
        <f>('TUSD BE'!$O$10+'TUSD BF'!$O$10+'TUSD CVA'!$O$10)*1</f>
        <v>0</v>
      </c>
      <c r="P10" s="13">
        <f>('TUSD BE'!$P$10+'TUSD BF'!$P$10+'TUSD CVA'!$P$10)*1</f>
        <v>0</v>
      </c>
      <c r="Q10" s="13">
        <f>('TUSD BE'!$Q$10+'TUSD BF'!$Q$10+'TUSD CVA'!$Q$10)*1</f>
        <v>0</v>
      </c>
      <c r="R10" s="13">
        <f>('TUSD BE'!$R$10+'TUSD BF'!$R$10+'TUSD CVA'!$R$10)*1</f>
        <v>0</v>
      </c>
      <c r="S10" s="13">
        <f>('TUSD BE'!$S$10+'TUSD BF'!$S$10+'TUSD CVA'!$S$10)*1</f>
        <v>0</v>
      </c>
      <c r="T10" s="13">
        <f>('TUSD BE'!$U$10+'TUSD BF'!$U$10+'TUSD CVA'!$U$10)*1</f>
        <v>0</v>
      </c>
      <c r="U10" s="13">
        <f>('TUSD BE'!$V$10+'TUSD BF'!$V$10+'TUSD CVA'!$V$10)*1</f>
        <v>0</v>
      </c>
      <c r="V10" s="13">
        <f>('TUSD BE'!$W$10+'TUSD BF'!$W$10+'TUSD CVA'!$W$10)*1</f>
        <v>0</v>
      </c>
      <c r="W10" s="13">
        <f>('TUSD BE'!$X$10+'TUSD BF'!$X$10+'TUSD CVA'!$X$10)*1</f>
        <v>0</v>
      </c>
      <c r="X10" s="13">
        <f>('TUSD BE'!$Y$10+'TUSD BF'!$Y$10+'TUSD CVA'!$Y$10)*1</f>
        <v>12.56074344276356</v>
      </c>
      <c r="Y10" s="13">
        <f>('TUSD BE'!$Z$10+'TUSD BF'!$Z$10+'TUSD CVA'!$Z$10)*1</f>
        <v>0</v>
      </c>
      <c r="Z10" s="13">
        <f>('TUSD BE'!$AA$10+'TUSD BF'!$AA$10+'TUSD CVA'!$AA$10)*1</f>
        <v>0</v>
      </c>
      <c r="AA10" s="13">
        <f>('TUSD BE'!$AC$10+'TUSD BF'!$AC$10+'TUSD CVA'!$AC$10)*1</f>
        <v>6.2987284172720299</v>
      </c>
      <c r="AB10" s="13">
        <f ca="1">('TUSD BE'!$AE$10+'TUSD BF'!$AE$10+'TUSD CVA'!$AE$10)*1</f>
        <v>0</v>
      </c>
      <c r="AC10" s="13">
        <f ca="1">('TUSD BE'!$AF$10+'TUSD BF'!$AF$10+'TUSD CVA'!$AF$10)*1</f>
        <v>0</v>
      </c>
      <c r="AD10" s="13">
        <f>('TUSD BE'!$AH$10+'TUSD BF'!$AH$10+'TUSD CVA'!$AH$10)*1</f>
        <v>0</v>
      </c>
      <c r="AE10" s="13">
        <f>('TUSD BE'!$AI$10+'TUSD BF'!$AI$10+'TUSD CVA'!$AI$10)*1</f>
        <v>0</v>
      </c>
      <c r="AF10" s="13">
        <f ca="1">('TUSD BE'!$AJ$10+'TUSD BF'!$AJ$10+'TUSD CVA'!$AJ$10)*1</f>
        <v>0</v>
      </c>
      <c r="AG10" s="13">
        <f ca="1">('TUSD BE'!$AK$10+'TUSD BF'!$AK$10+'TUSD CVA'!$AK$10)*1</f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12.225429732265299</v>
      </c>
      <c r="AV10" s="13">
        <v>0</v>
      </c>
      <c r="AW10" s="13">
        <v>0</v>
      </c>
      <c r="AX10" s="13">
        <v>6.4908682597559597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</row>
    <row r="11" spans="1:56" ht="11.25" customHeight="1" x14ac:dyDescent="0.3">
      <c r="A11" s="91"/>
      <c r="B11" s="91"/>
      <c r="C11" s="91"/>
      <c r="D11" s="91"/>
      <c r="E11" s="91"/>
      <c r="F11" s="91"/>
      <c r="G11" s="18" t="s">
        <v>69</v>
      </c>
      <c r="H11" s="18" t="s">
        <v>68</v>
      </c>
      <c r="I11" s="18">
        <f>'MERCADO TUSD'!$U$8</f>
        <v>561.45399999999995</v>
      </c>
      <c r="J11" s="15"/>
      <c r="L11" s="13">
        <f>('TUSD BE'!$L$11+'TUSD BF'!$L$11+'TUSD CVA'!$L$11)*1</f>
        <v>0</v>
      </c>
      <c r="M11" s="13">
        <f>('TUSD BE'!$M$11+'TUSD BF'!$M$11+'TUSD CVA'!$M$11)*1</f>
        <v>0.58074182308024946</v>
      </c>
      <c r="N11" s="13">
        <f ca="1">('TUSD BE'!$N$11+'TUSD BF'!$N$11+'TUSD CVA'!$N$11)*1</f>
        <v>0</v>
      </c>
      <c r="O11" s="13">
        <f>('TUSD BE'!$O$11+'TUSD BF'!$O$11+'TUSD CVA'!$O$11)*1</f>
        <v>0</v>
      </c>
      <c r="P11" s="13">
        <f>('TUSD BE'!$P$11+'TUSD BF'!$P$11+'TUSD CVA'!$P$11)*1</f>
        <v>0</v>
      </c>
      <c r="Q11" s="13">
        <f>('TUSD BE'!$Q$11+'TUSD BF'!$Q$11+'TUSD CVA'!$Q$11)*1</f>
        <v>70.597910478024517</v>
      </c>
      <c r="R11" s="13">
        <f>('TUSD BE'!$R$11+'TUSD BF'!$R$11+'TUSD CVA'!$R$11)*1</f>
        <v>13.250155086493958</v>
      </c>
      <c r="S11" s="13">
        <f>('TUSD BE'!$S$11+'TUSD BF'!$S$11+'TUSD CVA'!$S$11)*1</f>
        <v>0</v>
      </c>
      <c r="T11" s="13">
        <f>('TUSD BE'!$U$11+'TUSD BF'!$U$11+'TUSD CVA'!$U$11)*1</f>
        <v>0</v>
      </c>
      <c r="U11" s="13">
        <f>('TUSD BE'!$V$11+'TUSD BF'!$V$11+'TUSD CVA'!$V$11)*1</f>
        <v>0</v>
      </c>
      <c r="V11" s="13">
        <f>('TUSD BE'!$W$11+'TUSD BF'!$W$11+'TUSD CVA'!$W$11)*1</f>
        <v>0</v>
      </c>
      <c r="W11" s="13">
        <f>('TUSD BE'!$X$11+'TUSD BF'!$X$11+'TUSD CVA'!$X$11)*1</f>
        <v>0</v>
      </c>
      <c r="X11" s="13">
        <f>('TUSD BE'!$Y$11+'TUSD BF'!$Y$11+'TUSD CVA'!$Y$11)*1</f>
        <v>747.68803050994779</v>
      </c>
      <c r="Y11" s="13">
        <f>('TUSD BE'!$Z$11+'TUSD BF'!$Z$11+'TUSD CVA'!$Z$11)*1</f>
        <v>0</v>
      </c>
      <c r="Z11" s="13">
        <f>('TUSD BE'!$AA$11+'TUSD BF'!$AA$11+'TUSD CVA'!$AA$11)*1</f>
        <v>0</v>
      </c>
      <c r="AA11" s="13">
        <f>('TUSD BE'!$AC$11+'TUSD BF'!$AC$11+'TUSD CVA'!$AC$11)*1</f>
        <v>542.10906547578168</v>
      </c>
      <c r="AB11" s="13">
        <f ca="1">('TUSD BE'!$AE$11+'TUSD BF'!$AE$11+'TUSD CVA'!$AE$11)*1</f>
        <v>0</v>
      </c>
      <c r="AC11" s="13">
        <f ca="1">('TUSD BE'!$AF$11+'TUSD BF'!$AF$11+'TUSD CVA'!$AF$11)*1</f>
        <v>0</v>
      </c>
      <c r="AD11" s="13">
        <f>('TUSD BE'!$AH$11+'TUSD BF'!$AH$11+'TUSD CVA'!$AH$11)*1</f>
        <v>7.0006537693757238</v>
      </c>
      <c r="AE11" s="13">
        <f>('TUSD BE'!$AI$11+'TUSD BF'!$AI$11+'TUSD CVA'!$AI$11)*1</f>
        <v>0</v>
      </c>
      <c r="AF11" s="13">
        <f ca="1">('TUSD BE'!$AJ$11+'TUSD BF'!$AJ$11+'TUSD CVA'!$AJ$11)*1</f>
        <v>0</v>
      </c>
      <c r="AG11" s="13">
        <f ca="1">('TUSD BE'!$AK$11+'TUSD BF'!$AK$11+'TUSD CVA'!$AK$11)*1</f>
        <v>0</v>
      </c>
      <c r="AI11" s="13">
        <v>0</v>
      </c>
      <c r="AJ11" s="13">
        <v>0.67482751831728505</v>
      </c>
      <c r="AK11" s="13">
        <v>0</v>
      </c>
      <c r="AL11" s="13">
        <v>0</v>
      </c>
      <c r="AM11" s="13">
        <v>0</v>
      </c>
      <c r="AN11" s="13">
        <v>61.535569762952399</v>
      </c>
      <c r="AO11" s="13">
        <v>10.7355989388252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727.72960978138201</v>
      </c>
      <c r="AV11" s="13">
        <v>0</v>
      </c>
      <c r="AW11" s="13">
        <v>0</v>
      </c>
      <c r="AX11" s="13">
        <v>558.64743537093398</v>
      </c>
      <c r="AY11" s="13">
        <v>0</v>
      </c>
      <c r="AZ11" s="13">
        <v>0</v>
      </c>
      <c r="BA11" s="13">
        <v>9.9915535566959299</v>
      </c>
      <c r="BB11" s="13">
        <v>0</v>
      </c>
      <c r="BC11" s="13">
        <v>0</v>
      </c>
      <c r="BD11" s="13">
        <v>0</v>
      </c>
    </row>
    <row r="12" spans="1:56" ht="11.25" customHeight="1" x14ac:dyDescent="0.3">
      <c r="A12" s="91"/>
      <c r="B12" s="91"/>
      <c r="C12" s="91"/>
      <c r="D12" s="91"/>
      <c r="E12" s="91"/>
      <c r="F12" s="91"/>
      <c r="G12" s="18" t="s">
        <v>70</v>
      </c>
      <c r="H12" s="18" t="s">
        <v>68</v>
      </c>
      <c r="I12" s="18">
        <f>'MERCADO TUSD'!$U$9</f>
        <v>7702.3809999999985</v>
      </c>
      <c r="J12" s="15"/>
      <c r="L12" s="13">
        <f>('TUSD BE'!$L$12+'TUSD BF'!$L$12+'TUSD CVA'!$L$12)*1</f>
        <v>0</v>
      </c>
      <c r="M12" s="13">
        <f>('TUSD BE'!$M$12+'TUSD BF'!$M$12+'TUSD CVA'!$M$12)*1</f>
        <v>0.58074182308024946</v>
      </c>
      <c r="N12" s="13">
        <f ca="1">('TUSD BE'!$N$12+'TUSD BF'!$N$12+'TUSD CVA'!$N$12)*1</f>
        <v>0</v>
      </c>
      <c r="O12" s="13">
        <f>('TUSD BE'!$O$12+'TUSD BF'!$O$12+'TUSD CVA'!$O$12)*1</f>
        <v>0</v>
      </c>
      <c r="P12" s="13">
        <f>('TUSD BE'!$P$12+'TUSD BF'!$P$12+'TUSD CVA'!$P$12)*1</f>
        <v>0</v>
      </c>
      <c r="Q12" s="13">
        <f>('TUSD BE'!$Q$12+'TUSD BF'!$Q$12+'TUSD CVA'!$Q$12)*1</f>
        <v>70.597910478024517</v>
      </c>
      <c r="R12" s="13">
        <f>('TUSD BE'!$R$12+'TUSD BF'!$R$12+'TUSD CVA'!$R$12)*1</f>
        <v>13.250155086493958</v>
      </c>
      <c r="S12" s="13">
        <f>('TUSD BE'!$S$12+'TUSD BF'!$S$12+'TUSD CVA'!$S$12)*1</f>
        <v>0</v>
      </c>
      <c r="T12" s="13">
        <f>('TUSD BE'!$U$12+'TUSD BF'!$U$12+'TUSD CVA'!$U$12)*1</f>
        <v>0</v>
      </c>
      <c r="U12" s="13">
        <f>('TUSD BE'!$V$12+'TUSD BF'!$V$12+'TUSD CVA'!$V$12)*1</f>
        <v>0</v>
      </c>
      <c r="V12" s="13">
        <f>('TUSD BE'!$W$12+'TUSD BF'!$W$12+'TUSD CVA'!$W$12)*1</f>
        <v>0</v>
      </c>
      <c r="W12" s="13">
        <f>('TUSD BE'!$X$12+'TUSD BF'!$X$12+'TUSD CVA'!$X$12)*1</f>
        <v>0</v>
      </c>
      <c r="X12" s="13">
        <f>('TUSD BE'!$Y$12+'TUSD BF'!$Y$12+'TUSD CVA'!$Y$12)*1</f>
        <v>0</v>
      </c>
      <c r="Y12" s="13">
        <f>('TUSD BE'!$Z$12+'TUSD BF'!$Z$12+'TUSD CVA'!$Z$12)*1</f>
        <v>0</v>
      </c>
      <c r="Z12" s="13">
        <f>('TUSD BE'!$AA$12+'TUSD BF'!$AA$12+'TUSD CVA'!$AA$12)*1</f>
        <v>0</v>
      </c>
      <c r="AA12" s="13">
        <f>('TUSD BE'!$AC$12+'TUSD BF'!$AC$12+'TUSD CVA'!$AC$12)*1</f>
        <v>0</v>
      </c>
      <c r="AB12" s="13">
        <f ca="1">('TUSD BE'!$AE$12+'TUSD BF'!$AE$12+'TUSD CVA'!$AE$12)*1</f>
        <v>0</v>
      </c>
      <c r="AC12" s="13">
        <f ca="1">('TUSD BE'!$AF$12+'TUSD BF'!$AF$12+'TUSD CVA'!$AF$12)*1</f>
        <v>0</v>
      </c>
      <c r="AD12" s="13">
        <f>('TUSD BE'!$AH$12+'TUSD BF'!$AH$12+'TUSD CVA'!$AH$12)*1</f>
        <v>7.0006537693757238</v>
      </c>
      <c r="AE12" s="13">
        <f>('TUSD BE'!$AI$12+'TUSD BF'!$AI$12+'TUSD CVA'!$AI$12)*1</f>
        <v>0</v>
      </c>
      <c r="AF12" s="13">
        <f ca="1">('TUSD BE'!$AJ$12+'TUSD BF'!$AJ$12+'TUSD CVA'!$AJ$12)*1</f>
        <v>0</v>
      </c>
      <c r="AG12" s="13">
        <f ca="1">('TUSD BE'!$AK$12+'TUSD BF'!$AK$12+'TUSD CVA'!$AK$12)*1</f>
        <v>0</v>
      </c>
      <c r="AI12" s="13">
        <v>0</v>
      </c>
      <c r="AJ12" s="13">
        <v>0.67482751831728505</v>
      </c>
      <c r="AK12" s="13">
        <v>0</v>
      </c>
      <c r="AL12" s="13">
        <v>0</v>
      </c>
      <c r="AM12" s="13">
        <v>0</v>
      </c>
      <c r="AN12" s="13">
        <v>61.535569762952399</v>
      </c>
      <c r="AO12" s="13">
        <v>10.7355989388252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9.9915535566959299</v>
      </c>
      <c r="BB12" s="13">
        <v>0</v>
      </c>
      <c r="BC12" s="13">
        <v>0</v>
      </c>
      <c r="BD12" s="13">
        <v>0</v>
      </c>
    </row>
    <row r="13" spans="1:56" ht="11.25" customHeight="1" x14ac:dyDescent="0.3">
      <c r="A13" s="91"/>
      <c r="B13" s="91"/>
      <c r="C13" s="91"/>
      <c r="D13" s="91"/>
      <c r="E13" s="91" t="s">
        <v>75</v>
      </c>
      <c r="F13" s="91" t="s">
        <v>25</v>
      </c>
      <c r="G13" s="18" t="s">
        <v>69</v>
      </c>
      <c r="H13" s="18" t="s">
        <v>68</v>
      </c>
      <c r="I13" s="18">
        <f>'MERCADO TUSD'!$U$10</f>
        <v>0</v>
      </c>
      <c r="J13" s="15"/>
      <c r="L13" s="13">
        <f>('TUSD BE'!$L$13+'TUSD BF'!$L$13+'TUSD CVA'!$L$13)*1</f>
        <v>0</v>
      </c>
      <c r="M13" s="13">
        <f>('TUSD BE'!$M$13+'TUSD BF'!$M$13+'TUSD CVA'!$M$13)*1</f>
        <v>0.58074182308024946</v>
      </c>
      <c r="N13" s="13">
        <f ca="1">('TUSD BE'!$N$13+'TUSD BF'!$N$13+'TUSD CVA'!$N$13)*1</f>
        <v>0</v>
      </c>
      <c r="O13" s="13">
        <f>('TUSD BE'!$O$13+'TUSD BF'!$O$13+'TUSD CVA'!$O$13)*1</f>
        <v>0</v>
      </c>
      <c r="P13" s="13">
        <f>('TUSD BE'!$P$13+'TUSD BF'!$P$13+'TUSD CVA'!$P$13)*1</f>
        <v>0</v>
      </c>
      <c r="Q13" s="13">
        <f>('TUSD BE'!$Q$13+'TUSD BF'!$Q$13+'TUSD CVA'!$Q$13)*1</f>
        <v>0</v>
      </c>
      <c r="R13" s="13">
        <f>('TUSD BE'!$R$13+'TUSD BF'!$R$13+'TUSD CVA'!$R$13)*1</f>
        <v>0</v>
      </c>
      <c r="S13" s="13">
        <f>('TUSD BE'!$S$13+'TUSD BF'!$S$13+'TUSD CVA'!$S$13)*1</f>
        <v>0</v>
      </c>
      <c r="T13" s="13">
        <f>('TUSD BE'!$U$13+'TUSD BF'!$U$13+'TUSD CVA'!$U$13)*1</f>
        <v>0</v>
      </c>
      <c r="U13" s="13">
        <f>('TUSD BE'!$V$13+'TUSD BF'!$V$13+'TUSD CVA'!$V$13)*1</f>
        <v>0</v>
      </c>
      <c r="V13" s="13">
        <f>('TUSD BE'!$W$13+'TUSD BF'!$W$13+'TUSD CVA'!$W$13)*1</f>
        <v>0</v>
      </c>
      <c r="W13" s="13">
        <f>('TUSD BE'!$X$13+'TUSD BF'!$X$13+'TUSD CVA'!$X$13)*1</f>
        <v>0</v>
      </c>
      <c r="X13" s="13">
        <f>('TUSD BE'!$Y$13+'TUSD BF'!$Y$13+'TUSD CVA'!$Y$13)*1</f>
        <v>747.68803050994779</v>
      </c>
      <c r="Y13" s="13">
        <f>('TUSD BE'!$Z$13+'TUSD BF'!$Z$13+'TUSD CVA'!$Z$13)*1</f>
        <v>0</v>
      </c>
      <c r="Z13" s="13">
        <f>('TUSD BE'!$AA$13+'TUSD BF'!$AA$13+'TUSD CVA'!$AA$13)*1</f>
        <v>0</v>
      </c>
      <c r="AA13" s="13">
        <f>('TUSD BE'!$AC$13+'TUSD BF'!$AC$13+'TUSD CVA'!$AC$13)*1</f>
        <v>542.10906547578168</v>
      </c>
      <c r="AB13" s="13">
        <f ca="1">('TUSD BE'!$AE$13+'TUSD BF'!$AE$13+'TUSD CVA'!$AE$13)*1</f>
        <v>0</v>
      </c>
      <c r="AC13" s="13">
        <f ca="1">('TUSD BE'!$AF$13+'TUSD BF'!$AF$13+'TUSD CVA'!$AF$13)*1</f>
        <v>0</v>
      </c>
      <c r="AD13" s="13">
        <f>('TUSD BE'!$AH$13+'TUSD BF'!$AH$13+'TUSD CVA'!$AH$13)*1</f>
        <v>7.0006537693757238</v>
      </c>
      <c r="AE13" s="13">
        <f>('TUSD BE'!$AI$13+'TUSD BF'!$AI$13+'TUSD CVA'!$AI$13)*1</f>
        <v>0</v>
      </c>
      <c r="AF13" s="13">
        <f ca="1">('TUSD BE'!$AJ$13+'TUSD BF'!$AJ$13+'TUSD CVA'!$AJ$13)*1</f>
        <v>0</v>
      </c>
      <c r="AG13" s="13">
        <f ca="1">('TUSD BE'!$AK$13+'TUSD BF'!$AK$13+'TUSD CVA'!$AK$13)*1</f>
        <v>0</v>
      </c>
      <c r="AI13" s="13">
        <v>0</v>
      </c>
      <c r="AJ13" s="13">
        <v>0.67482751831728505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727.72960978138201</v>
      </c>
      <c r="AV13" s="13">
        <v>0</v>
      </c>
      <c r="AW13" s="13">
        <v>0</v>
      </c>
      <c r="AX13" s="13">
        <v>558.64743537093398</v>
      </c>
      <c r="AY13" s="13">
        <v>0</v>
      </c>
      <c r="AZ13" s="13">
        <v>0</v>
      </c>
      <c r="BA13" s="13">
        <v>9.9915535566959299</v>
      </c>
      <c r="BB13" s="13">
        <v>0</v>
      </c>
      <c r="BC13" s="13">
        <v>0</v>
      </c>
      <c r="BD13" s="13">
        <v>0</v>
      </c>
    </row>
    <row r="14" spans="1:56" ht="11.25" customHeight="1" x14ac:dyDescent="0.3">
      <c r="A14" s="91"/>
      <c r="B14" s="91"/>
      <c r="C14" s="91"/>
      <c r="D14" s="91"/>
      <c r="E14" s="91"/>
      <c r="F14" s="91"/>
      <c r="G14" s="18" t="s">
        <v>70</v>
      </c>
      <c r="H14" s="18" t="s">
        <v>68</v>
      </c>
      <c r="I14" s="18">
        <f>'MERCADO TUSD'!$U$11</f>
        <v>0</v>
      </c>
      <c r="J14" s="15"/>
      <c r="L14" s="13">
        <f>('TUSD BE'!$L$14+'TUSD BF'!$L$14+'TUSD CVA'!$L$14)*1</f>
        <v>0</v>
      </c>
      <c r="M14" s="13">
        <f>('TUSD BE'!$M$14+'TUSD BF'!$M$14+'TUSD CVA'!$M$14)*1</f>
        <v>0.58074182308024946</v>
      </c>
      <c r="N14" s="13">
        <f ca="1">('TUSD BE'!$N$14+'TUSD BF'!$N$14+'TUSD CVA'!$N$14)*1</f>
        <v>0</v>
      </c>
      <c r="O14" s="13">
        <f>('TUSD BE'!$O$14+'TUSD BF'!$O$14+'TUSD CVA'!$O$14)*1</f>
        <v>0</v>
      </c>
      <c r="P14" s="13">
        <f>('TUSD BE'!$P$14+'TUSD BF'!$P$14+'TUSD CVA'!$P$14)*1</f>
        <v>0</v>
      </c>
      <c r="Q14" s="13">
        <f>('TUSD BE'!$Q$14+'TUSD BF'!$Q$14+'TUSD CVA'!$Q$14)*1</f>
        <v>0</v>
      </c>
      <c r="R14" s="13">
        <f>('TUSD BE'!$R$14+'TUSD BF'!$R$14+'TUSD CVA'!$R$14)*1</f>
        <v>0</v>
      </c>
      <c r="S14" s="13">
        <f>('TUSD BE'!$S$14+'TUSD BF'!$S$14+'TUSD CVA'!$S$14)*1</f>
        <v>0</v>
      </c>
      <c r="T14" s="13">
        <f>('TUSD BE'!$U$14+'TUSD BF'!$U$14+'TUSD CVA'!$U$14)*1</f>
        <v>0</v>
      </c>
      <c r="U14" s="13">
        <f>('TUSD BE'!$V$14+'TUSD BF'!$V$14+'TUSD CVA'!$V$14)*1</f>
        <v>0</v>
      </c>
      <c r="V14" s="13">
        <f>('TUSD BE'!$W$14+'TUSD BF'!$W$14+'TUSD CVA'!$W$14)*1</f>
        <v>0</v>
      </c>
      <c r="W14" s="13">
        <f>('TUSD BE'!$X$14+'TUSD BF'!$X$14+'TUSD CVA'!$X$14)*1</f>
        <v>0</v>
      </c>
      <c r="X14" s="13">
        <f>('TUSD BE'!$Y$14+'TUSD BF'!$Y$14+'TUSD CVA'!$Y$14)*1</f>
        <v>0</v>
      </c>
      <c r="Y14" s="13">
        <f>('TUSD BE'!$Z$14+'TUSD BF'!$Z$14+'TUSD CVA'!$Z$14)*1</f>
        <v>0</v>
      </c>
      <c r="Z14" s="13">
        <f>('TUSD BE'!$AA$14+'TUSD BF'!$AA$14+'TUSD CVA'!$AA$14)*1</f>
        <v>0</v>
      </c>
      <c r="AA14" s="13">
        <f>('TUSD BE'!$AC$14+'TUSD BF'!$AC$14+'TUSD CVA'!$AC$14)*1</f>
        <v>0</v>
      </c>
      <c r="AB14" s="13">
        <f ca="1">('TUSD BE'!$AE$14+'TUSD BF'!$AE$14+'TUSD CVA'!$AE$14)*1</f>
        <v>0</v>
      </c>
      <c r="AC14" s="13">
        <f ca="1">('TUSD BE'!$AF$14+'TUSD BF'!$AF$14+'TUSD CVA'!$AF$14)*1</f>
        <v>0</v>
      </c>
      <c r="AD14" s="13">
        <f>('TUSD BE'!$AH$14+'TUSD BF'!$AH$14+'TUSD CVA'!$AH$14)*1</f>
        <v>7.0006537693757238</v>
      </c>
      <c r="AE14" s="13">
        <f>('TUSD BE'!$AI$14+'TUSD BF'!$AI$14+'TUSD CVA'!$AI$14)*1</f>
        <v>0</v>
      </c>
      <c r="AF14" s="13">
        <f ca="1">('TUSD BE'!$AJ$14+'TUSD BF'!$AJ$14+'TUSD CVA'!$AJ$14)*1</f>
        <v>0</v>
      </c>
      <c r="AG14" s="13">
        <f ca="1">('TUSD BE'!$AK$14+'TUSD BF'!$AK$14+'TUSD CVA'!$AK$14)*1</f>
        <v>0</v>
      </c>
      <c r="AI14" s="13">
        <v>0</v>
      </c>
      <c r="AJ14" s="13">
        <v>0.67482751831728505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9.9915535566959299</v>
      </c>
      <c r="BB14" s="13">
        <v>0</v>
      </c>
      <c r="BC14" s="13">
        <v>0</v>
      </c>
      <c r="BD14" s="13">
        <v>0</v>
      </c>
    </row>
    <row r="15" spans="1:56" ht="11.25" customHeight="1" x14ac:dyDescent="0.3">
      <c r="A15" s="91" t="s">
        <v>77</v>
      </c>
      <c r="B15" s="91" t="s">
        <v>76</v>
      </c>
      <c r="C15" s="91" t="s">
        <v>25</v>
      </c>
      <c r="D15" s="91" t="s">
        <v>25</v>
      </c>
      <c r="E15" s="17" t="s">
        <v>78</v>
      </c>
      <c r="F15" s="17" t="s">
        <v>25</v>
      </c>
      <c r="G15" s="18" t="s">
        <v>9</v>
      </c>
      <c r="H15" s="18" t="s">
        <v>71</v>
      </c>
      <c r="I15" s="18">
        <f>'MERCADO TUSD'!$U$12+0.00000001</f>
        <v>1E-8</v>
      </c>
      <c r="J15" s="15"/>
      <c r="L15" s="13">
        <f>('TUSD BE'!$L$15+'TUSD BF'!$L$15+'TUSD CVA'!$L$15)*1</f>
        <v>0</v>
      </c>
      <c r="M15" s="13">
        <f>('TUSD BE'!$M$15+'TUSD BF'!$M$15+'TUSD CVA'!$M$15)*1</f>
        <v>9.7153839857044202E-3</v>
      </c>
      <c r="N15" s="13">
        <f ca="1">('TUSD BE'!$N$15+'TUSD BF'!$N$15+'TUSD CVA'!$N$15)*1</f>
        <v>0</v>
      </c>
      <c r="O15" s="13">
        <f>('TUSD BE'!$O$15+'TUSD BF'!$O$15+'TUSD CVA'!$O$15)*1</f>
        <v>0</v>
      </c>
      <c r="P15" s="13">
        <f>('TUSD BE'!$P$15+'TUSD BF'!$P$15+'TUSD CVA'!$P$15)*1</f>
        <v>0</v>
      </c>
      <c r="Q15" s="13">
        <f>('TUSD BE'!$Q$15+'TUSD BF'!$Q$15+'TUSD CVA'!$Q$15)*1</f>
        <v>0</v>
      </c>
      <c r="R15" s="13">
        <f>('TUSD BE'!$R$15+'TUSD BF'!$R$15+'TUSD CVA'!$R$15)*1</f>
        <v>0</v>
      </c>
      <c r="S15" s="13">
        <f>('TUSD BE'!$S$15+'TUSD BF'!$S$15+'TUSD CVA'!$S$15)*1</f>
        <v>0</v>
      </c>
      <c r="T15" s="13">
        <f>('TUSD BE'!$U$15+'TUSD BF'!$U$15+'TUSD CVA'!$U$15)*1</f>
        <v>0</v>
      </c>
      <c r="U15" s="13">
        <f>('TUSD BE'!$V$15+'TUSD BF'!$V$15+'TUSD CVA'!$V$15)*1</f>
        <v>0</v>
      </c>
      <c r="V15" s="13">
        <f>('TUSD BE'!$W$15+'TUSD BF'!$W$15+'TUSD CVA'!$W$15)*1</f>
        <v>0</v>
      </c>
      <c r="W15" s="13">
        <f>('TUSD BE'!$X$15+'TUSD BF'!$X$15+'TUSD CVA'!$X$15)*1</f>
        <v>0</v>
      </c>
      <c r="X15" s="13">
        <f>('TUSD BE'!$Y$15+'TUSD BF'!$Y$15+'TUSD CVA'!$Y$15)*1</f>
        <v>0</v>
      </c>
      <c r="Y15" s="13">
        <f>('TUSD BE'!$Z$15+'TUSD BF'!$Z$15+'TUSD CVA'!$Z$15)*1</f>
        <v>0</v>
      </c>
      <c r="Z15" s="13">
        <f>('TUSD BE'!$AA$15+'TUSD BF'!$AA$15+'TUSD CVA'!$AA$15)*1</f>
        <v>0</v>
      </c>
      <c r="AA15" s="13">
        <f>('TUSD BE'!$AC$15+'TUSD BF'!$AC$15+'TUSD CVA'!$AC$15)*1</f>
        <v>2.9392628555599423</v>
      </c>
      <c r="AB15" s="13">
        <f ca="1">('TUSD BE'!$AE$15+'TUSD BF'!$AE$15+'TUSD CVA'!$AE$15)*1</f>
        <v>0</v>
      </c>
      <c r="AC15" s="13">
        <f ca="1">('TUSD BE'!$AF$15+'TUSD BF'!$AF$15+'TUSD CVA'!$AF$15)*1</f>
        <v>0</v>
      </c>
      <c r="AD15" s="13">
        <f>('TUSD BE'!$AH$15+'TUSD BF'!$AH$15+'TUSD CVA'!$AH$15)*1</f>
        <v>0</v>
      </c>
      <c r="AE15" s="13">
        <f>('TUSD BE'!$AI$15+'TUSD BF'!$AI$15+'TUSD CVA'!$AI$15)*1</f>
        <v>0</v>
      </c>
      <c r="AF15" s="13">
        <f ca="1">('TUSD BE'!$AJ$15+'TUSD BF'!$AJ$15+'TUSD CVA'!$AJ$15)*1</f>
        <v>0</v>
      </c>
      <c r="AG15" s="13">
        <f ca="1">('TUSD BE'!$AK$15+'TUSD BF'!$AK$15+'TUSD CVA'!$AK$15)*1</f>
        <v>0</v>
      </c>
      <c r="AI15" s="13">
        <v>0</v>
      </c>
      <c r="AJ15" s="13">
        <v>1.17176330603728E-2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3.0289301701028699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</row>
    <row r="16" spans="1:56" ht="11.25" customHeight="1" x14ac:dyDescent="0.3">
      <c r="A16" s="91"/>
      <c r="B16" s="91"/>
      <c r="C16" s="91"/>
      <c r="D16" s="91"/>
      <c r="E16" s="17" t="s">
        <v>79</v>
      </c>
      <c r="F16" s="17" t="s">
        <v>25</v>
      </c>
      <c r="G16" s="18" t="s">
        <v>9</v>
      </c>
      <c r="H16" s="18" t="s">
        <v>71</v>
      </c>
      <c r="I16" s="18">
        <f>'MERCADO TUSD'!$U$13+0.00000001</f>
        <v>1E-8</v>
      </c>
      <c r="J16" s="15"/>
      <c r="L16" s="13">
        <f>('TUSD BE'!$L$16+'TUSD BF'!$L$16+'TUSD CVA'!$L$16)*1</f>
        <v>0</v>
      </c>
      <c r="M16" s="13">
        <f>('TUSD BE'!$M$16+'TUSD BF'!$M$16+'TUSD CVA'!$M$16)*1</f>
        <v>9.7153839857044202E-3</v>
      </c>
      <c r="N16" s="13">
        <f ca="1">('TUSD BE'!$N$16+'TUSD BF'!$N$16+'TUSD CVA'!$N$16)*1</f>
        <v>0</v>
      </c>
      <c r="O16" s="13">
        <f>('TUSD BE'!$O$16+'TUSD BF'!$O$16+'TUSD CVA'!$O$16)*1</f>
        <v>0</v>
      </c>
      <c r="P16" s="13">
        <f>('TUSD BE'!$P$16+'TUSD BF'!$P$16+'TUSD CVA'!$P$16)*1</f>
        <v>0</v>
      </c>
      <c r="Q16" s="13">
        <f>('TUSD BE'!$Q$16+'TUSD BF'!$Q$16+'TUSD CVA'!$Q$16)*1</f>
        <v>0</v>
      </c>
      <c r="R16" s="13">
        <f>('TUSD BE'!$R$16+'TUSD BF'!$R$16+'TUSD CVA'!$R$16)*1</f>
        <v>0</v>
      </c>
      <c r="S16" s="13">
        <f>('TUSD BE'!$S$16+'TUSD BF'!$S$16+'TUSD CVA'!$S$16)*1</f>
        <v>0</v>
      </c>
      <c r="T16" s="13">
        <f>('TUSD BE'!$U$16+'TUSD BF'!$U$16+'TUSD CVA'!$U$16)*1</f>
        <v>0</v>
      </c>
      <c r="U16" s="13">
        <f>('TUSD BE'!$V$16+'TUSD BF'!$V$16+'TUSD CVA'!$V$16)*1</f>
        <v>0</v>
      </c>
      <c r="V16" s="13">
        <f>('TUSD BE'!$W$16+'TUSD BF'!$W$16+'TUSD CVA'!$W$16)*1</f>
        <v>0</v>
      </c>
      <c r="W16" s="13">
        <f>('TUSD BE'!$X$16+'TUSD BF'!$X$16+'TUSD CVA'!$X$16)*1</f>
        <v>0</v>
      </c>
      <c r="X16" s="13">
        <f>('TUSD BE'!$Y$16+'TUSD BF'!$Y$16+'TUSD CVA'!$Y$16)*1</f>
        <v>0</v>
      </c>
      <c r="Y16" s="13">
        <f>('TUSD BE'!$Z$16+'TUSD BF'!$Z$16+'TUSD CVA'!$Z$16)*1</f>
        <v>0</v>
      </c>
      <c r="Z16" s="13">
        <f>('TUSD BE'!$AA$16+'TUSD BF'!$AA$16+'TUSD CVA'!$AA$16)*1</f>
        <v>0</v>
      </c>
      <c r="AA16" s="13">
        <f>('TUSD BE'!$AC$16+'TUSD BF'!$AC$16+'TUSD CVA'!$AC$16)*1</f>
        <v>5.9800493097284235</v>
      </c>
      <c r="AB16" s="13">
        <f ca="1">('TUSD BE'!$AE$16+'TUSD BF'!$AE$16+'TUSD CVA'!$AE$16)*1</f>
        <v>0</v>
      </c>
      <c r="AC16" s="13">
        <f ca="1">('TUSD BE'!$AF$16+'TUSD BF'!$AF$16+'TUSD CVA'!$AF$16)*1</f>
        <v>0</v>
      </c>
      <c r="AD16" s="13">
        <f>('TUSD BE'!$AH$16+'TUSD BF'!$AH$16+'TUSD CVA'!$AH$16)*1</f>
        <v>0</v>
      </c>
      <c r="AE16" s="13">
        <f>('TUSD BE'!$AI$16+'TUSD BF'!$AI$16+'TUSD CVA'!$AI$16)*1</f>
        <v>0</v>
      </c>
      <c r="AF16" s="13">
        <f ca="1">('TUSD BE'!$AJ$16+'TUSD BF'!$AJ$16+'TUSD CVA'!$AJ$16)*1</f>
        <v>0</v>
      </c>
      <c r="AG16" s="13">
        <f ca="1">('TUSD BE'!$AK$16+'TUSD BF'!$AK$16+'TUSD CVA'!$AK$16)*1</f>
        <v>0</v>
      </c>
      <c r="AI16" s="13">
        <v>0</v>
      </c>
      <c r="AJ16" s="13">
        <v>1.17176330603728E-2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6.1624841861439101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</row>
    <row r="17" spans="1:56" ht="11.25" customHeight="1" x14ac:dyDescent="0.3">
      <c r="A17" s="91" t="s">
        <v>22</v>
      </c>
      <c r="B17" s="91" t="s">
        <v>82</v>
      </c>
      <c r="C17" s="91" t="s">
        <v>24</v>
      </c>
      <c r="D17" s="91" t="s">
        <v>24</v>
      </c>
      <c r="E17" s="91" t="s">
        <v>25</v>
      </c>
      <c r="F17" s="91" t="s">
        <v>25</v>
      </c>
      <c r="G17" s="18" t="s">
        <v>69</v>
      </c>
      <c r="H17" s="18" t="s">
        <v>68</v>
      </c>
      <c r="I17" s="18">
        <f>'MERCADO TUSD'!$U$14</f>
        <v>0</v>
      </c>
      <c r="J17" s="15"/>
      <c r="L17" s="13">
        <f>('TUSD BE'!$L$17+'TUSD BF'!$L$17+'TUSD CVA'!$L$17)*1</f>
        <v>0</v>
      </c>
      <c r="M17" s="13">
        <f>('TUSD BE'!$M$17+'TUSD BF'!$M$17+'TUSD CVA'!$M$17)*1</f>
        <v>0.79347206456283281</v>
      </c>
      <c r="N17" s="13">
        <f ca="1">('TUSD BE'!$N$17+'TUSD BF'!$N$17+'TUSD CVA'!$N$17)*1</f>
        <v>0</v>
      </c>
      <c r="O17" s="13">
        <f>('TUSD BE'!$O$17+'TUSD BF'!$O$17+'TUSD CVA'!$O$17)*1</f>
        <v>0</v>
      </c>
      <c r="P17" s="13">
        <f>('TUSD BE'!$P$17+'TUSD BF'!$P$17+'TUSD CVA'!$P$17)*1</f>
        <v>0</v>
      </c>
      <c r="Q17" s="13">
        <f>('TUSD BE'!$Q$17+'TUSD BF'!$Q$17+'TUSD CVA'!$Q$17)*1</f>
        <v>84.045131521457748</v>
      </c>
      <c r="R17" s="13">
        <f>('TUSD BE'!$R$17+'TUSD BF'!$R$17+'TUSD CVA'!$R$17)*1</f>
        <v>13.250155086493958</v>
      </c>
      <c r="S17" s="13">
        <f>('TUSD BE'!$S$17+'TUSD BF'!$S$17+'TUSD CVA'!$S$17)*1</f>
        <v>0</v>
      </c>
      <c r="T17" s="13">
        <f>('TUSD BE'!$U$17+'TUSD BF'!$U$17+'TUSD CVA'!$U$17)*1</f>
        <v>0</v>
      </c>
      <c r="U17" s="13">
        <f>('TUSD BE'!$V$17+'TUSD BF'!$V$17+'TUSD CVA'!$V$17)*1</f>
        <v>0</v>
      </c>
      <c r="V17" s="13">
        <f>('TUSD BE'!$W$17+'TUSD BF'!$W$17+'TUSD CVA'!$W$17)*1</f>
        <v>0</v>
      </c>
      <c r="W17" s="13">
        <f>('TUSD BE'!$X$17+'TUSD BF'!$X$17+'TUSD CVA'!$X$17)*1</f>
        <v>0</v>
      </c>
      <c r="X17" s="13">
        <f>('TUSD BE'!$Y$17+'TUSD BF'!$Y$17+'TUSD CVA'!$Y$17)*1</f>
        <v>273.73355242196328</v>
      </c>
      <c r="Y17" s="13">
        <f>('TUSD BE'!$Z$17+'TUSD BF'!$Z$17+'TUSD CVA'!$Z$17)*1</f>
        <v>0</v>
      </c>
      <c r="Z17" s="13">
        <f>('TUSD BE'!$AA$17+'TUSD BF'!$AA$17+'TUSD CVA'!$AA$17)*1</f>
        <v>0</v>
      </c>
      <c r="AA17" s="13">
        <f>('TUSD BE'!$AC$17+'TUSD BF'!$AC$17+'TUSD CVA'!$AC$17)*1</f>
        <v>253.28914507528538</v>
      </c>
      <c r="AB17" s="13">
        <f ca="1">('TUSD BE'!$AE$17+'TUSD BF'!$AE$17+'TUSD CVA'!$AE$17)*1</f>
        <v>0</v>
      </c>
      <c r="AC17" s="13">
        <f ca="1">('TUSD BE'!$AF$17+'TUSD BF'!$AF$17+'TUSD CVA'!$AF$17)*1</f>
        <v>0</v>
      </c>
      <c r="AD17" s="13">
        <f>('TUSD BE'!$AH$17+'TUSD BF'!$AH$17+'TUSD CVA'!$AH$17)*1</f>
        <v>18.131916131990536</v>
      </c>
      <c r="AE17" s="13">
        <f>('TUSD BE'!$AI$17+'TUSD BF'!$AI$17+'TUSD CVA'!$AI$17)*1</f>
        <v>0</v>
      </c>
      <c r="AF17" s="13">
        <f ca="1">('TUSD BE'!$AJ$17+'TUSD BF'!$AJ$17+'TUSD CVA'!$AJ$17)*1</f>
        <v>0</v>
      </c>
      <c r="AG17" s="13">
        <f ca="1">('TUSD BE'!$AK$17+'TUSD BF'!$AK$17+'TUSD CVA'!$AK$17)*1</f>
        <v>0</v>
      </c>
      <c r="AI17" s="13">
        <v>0</v>
      </c>
      <c r="AJ17" s="13">
        <v>0.99652345323110003</v>
      </c>
      <c r="AK17" s="13">
        <v>0</v>
      </c>
      <c r="AL17" s="13">
        <v>0</v>
      </c>
      <c r="AM17" s="13">
        <v>0</v>
      </c>
      <c r="AN17" s="13">
        <v>70.730539957416596</v>
      </c>
      <c r="AO17" s="13">
        <v>10.7355989388252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266.426625652285</v>
      </c>
      <c r="AV17" s="13">
        <v>0</v>
      </c>
      <c r="AW17" s="13">
        <v>0</v>
      </c>
      <c r="AX17" s="13">
        <v>261.01633594254901</v>
      </c>
      <c r="AY17" s="13">
        <v>0</v>
      </c>
      <c r="AZ17" s="13">
        <v>0</v>
      </c>
      <c r="BA17" s="13">
        <v>25.8785733583689</v>
      </c>
      <c r="BB17" s="13">
        <v>0</v>
      </c>
      <c r="BC17" s="13">
        <v>0</v>
      </c>
      <c r="BD17" s="13">
        <v>0</v>
      </c>
    </row>
    <row r="18" spans="1:56" ht="11.25" customHeight="1" x14ac:dyDescent="0.3">
      <c r="A18" s="91"/>
      <c r="B18" s="91"/>
      <c r="C18" s="91"/>
      <c r="D18" s="91"/>
      <c r="E18" s="91"/>
      <c r="F18" s="91"/>
      <c r="G18" s="18" t="s">
        <v>80</v>
      </c>
      <c r="H18" s="18" t="s">
        <v>68</v>
      </c>
      <c r="I18" s="18">
        <f>'MERCADO TUSD'!$U$15</f>
        <v>0</v>
      </c>
      <c r="J18" s="15"/>
      <c r="L18" s="13">
        <f>('TUSD BE'!$L$18+'TUSD BF'!$L$18+'TUSD CVA'!$L$18)*1</f>
        <v>0</v>
      </c>
      <c r="M18" s="13">
        <f>('TUSD BE'!$M$18+'TUSD BF'!$M$18+'TUSD CVA'!$M$18)*1</f>
        <v>0.79347206456283281</v>
      </c>
      <c r="N18" s="13">
        <f ca="1">('TUSD BE'!$N$18+'TUSD BF'!$N$18+'TUSD CVA'!$N$18)*1</f>
        <v>0</v>
      </c>
      <c r="O18" s="13">
        <f>('TUSD BE'!$O$18+'TUSD BF'!$O$18+'TUSD CVA'!$O$18)*1</f>
        <v>0</v>
      </c>
      <c r="P18" s="13">
        <f>('TUSD BE'!$P$18+'TUSD BF'!$P$18+'TUSD CVA'!$P$18)*1</f>
        <v>0</v>
      </c>
      <c r="Q18" s="13">
        <f>('TUSD BE'!$Q$18+'TUSD BF'!$Q$18+'TUSD CVA'!$Q$18)*1</f>
        <v>84.045131521457748</v>
      </c>
      <c r="R18" s="13">
        <f>('TUSD BE'!$R$18+'TUSD BF'!$R$18+'TUSD CVA'!$R$18)*1</f>
        <v>13.250155086493958</v>
      </c>
      <c r="S18" s="13">
        <f>('TUSD BE'!$S$18+'TUSD BF'!$S$18+'TUSD CVA'!$S$18)*1</f>
        <v>0</v>
      </c>
      <c r="T18" s="13">
        <f>('TUSD BE'!$U$18+'TUSD BF'!$U$18+'TUSD CVA'!$U$18)*1</f>
        <v>0</v>
      </c>
      <c r="U18" s="13">
        <f>('TUSD BE'!$V$18+'TUSD BF'!$V$18+'TUSD CVA'!$V$18)*1</f>
        <v>0</v>
      </c>
      <c r="V18" s="13">
        <f>('TUSD BE'!$W$18+'TUSD BF'!$W$18+'TUSD CVA'!$W$18)*1</f>
        <v>0</v>
      </c>
      <c r="W18" s="13">
        <f>('TUSD BE'!$X$18+'TUSD BF'!$X$18+'TUSD CVA'!$X$18)*1</f>
        <v>0</v>
      </c>
      <c r="X18" s="13">
        <f>('TUSD BE'!$Y$18+'TUSD BF'!$Y$18+'TUSD CVA'!$Y$18)*1</f>
        <v>164.24015184333325</v>
      </c>
      <c r="Y18" s="13">
        <f>('TUSD BE'!$Z$18+'TUSD BF'!$Z$18+'TUSD CVA'!$Z$18)*1</f>
        <v>0</v>
      </c>
      <c r="Z18" s="13">
        <f>('TUSD BE'!$AA$18+'TUSD BF'!$AA$18+'TUSD CVA'!$AA$18)*1</f>
        <v>0</v>
      </c>
      <c r="AA18" s="13">
        <f>('TUSD BE'!$AC$18+'TUSD BF'!$AC$18+'TUSD CVA'!$AC$18)*1</f>
        <v>151.97356203951924</v>
      </c>
      <c r="AB18" s="13">
        <f ca="1">('TUSD BE'!$AE$18+'TUSD BF'!$AE$18+'TUSD CVA'!$AE$18)*1</f>
        <v>0</v>
      </c>
      <c r="AC18" s="13">
        <f ca="1">('TUSD BE'!$AF$18+'TUSD BF'!$AF$18+'TUSD CVA'!$AF$18)*1</f>
        <v>0</v>
      </c>
      <c r="AD18" s="13">
        <f>('TUSD BE'!$AH$18+'TUSD BF'!$AH$18+'TUSD CVA'!$AH$18)*1</f>
        <v>18.131916131990536</v>
      </c>
      <c r="AE18" s="13">
        <f>('TUSD BE'!$AI$18+'TUSD BF'!$AI$18+'TUSD CVA'!$AI$18)*1</f>
        <v>0</v>
      </c>
      <c r="AF18" s="13">
        <f ca="1">('TUSD BE'!$AJ$18+'TUSD BF'!$AJ$18+'TUSD CVA'!$AJ$18)*1</f>
        <v>0</v>
      </c>
      <c r="AG18" s="13">
        <f ca="1">('TUSD BE'!$AK$18+'TUSD BF'!$AK$18+'TUSD CVA'!$AK$18)*1</f>
        <v>0</v>
      </c>
      <c r="AI18" s="13">
        <v>0</v>
      </c>
      <c r="AJ18" s="13">
        <v>0.99652345323110003</v>
      </c>
      <c r="AK18" s="13">
        <v>0</v>
      </c>
      <c r="AL18" s="13">
        <v>0</v>
      </c>
      <c r="AM18" s="13">
        <v>0</v>
      </c>
      <c r="AN18" s="13">
        <v>70.730539957416596</v>
      </c>
      <c r="AO18" s="13">
        <v>10.7355989388252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159.855975391371</v>
      </c>
      <c r="AV18" s="13">
        <v>0</v>
      </c>
      <c r="AW18" s="13">
        <v>0</v>
      </c>
      <c r="AX18" s="13">
        <v>156.60987443181801</v>
      </c>
      <c r="AY18" s="13">
        <v>0</v>
      </c>
      <c r="AZ18" s="13">
        <v>0</v>
      </c>
      <c r="BA18" s="13">
        <v>25.8785733583689</v>
      </c>
      <c r="BB18" s="13">
        <v>0</v>
      </c>
      <c r="BC18" s="13">
        <v>0</v>
      </c>
      <c r="BD18" s="13">
        <v>0</v>
      </c>
    </row>
    <row r="19" spans="1:56" ht="11.25" customHeight="1" x14ac:dyDescent="0.3">
      <c r="A19" s="91"/>
      <c r="B19" s="91"/>
      <c r="C19" s="91"/>
      <c r="D19" s="91"/>
      <c r="E19" s="91"/>
      <c r="F19" s="91"/>
      <c r="G19" s="18" t="s">
        <v>70</v>
      </c>
      <c r="H19" s="18" t="s">
        <v>68</v>
      </c>
      <c r="I19" s="18">
        <f>'MERCADO TUSD'!$U$16</f>
        <v>0</v>
      </c>
      <c r="J19" s="15"/>
      <c r="L19" s="13">
        <f>('TUSD BE'!$L$19+'TUSD BF'!$L$19+'TUSD CVA'!$L$19)*1</f>
        <v>0</v>
      </c>
      <c r="M19" s="13">
        <f>('TUSD BE'!$M$19+'TUSD BF'!$M$19+'TUSD CVA'!$M$19)*1</f>
        <v>0.79347206456283281</v>
      </c>
      <c r="N19" s="13">
        <f ca="1">('TUSD BE'!$N$19+'TUSD BF'!$N$19+'TUSD CVA'!$N$19)*1</f>
        <v>0</v>
      </c>
      <c r="O19" s="13">
        <f>('TUSD BE'!$O$19+'TUSD BF'!$O$19+'TUSD CVA'!$O$19)*1</f>
        <v>0</v>
      </c>
      <c r="P19" s="13">
        <f>('TUSD BE'!$P$19+'TUSD BF'!$P$19+'TUSD CVA'!$P$19)*1</f>
        <v>0</v>
      </c>
      <c r="Q19" s="13">
        <f>('TUSD BE'!$Q$19+'TUSD BF'!$Q$19+'TUSD CVA'!$Q$19)*1</f>
        <v>84.045131521457748</v>
      </c>
      <c r="R19" s="13">
        <f>('TUSD BE'!$R$19+'TUSD BF'!$R$19+'TUSD CVA'!$R$19)*1</f>
        <v>13.250155086493958</v>
      </c>
      <c r="S19" s="13">
        <f>('TUSD BE'!$S$19+'TUSD BF'!$S$19+'TUSD CVA'!$S$19)*1</f>
        <v>0</v>
      </c>
      <c r="T19" s="13">
        <f>('TUSD BE'!$U$19+'TUSD BF'!$U$19+'TUSD CVA'!$U$19)*1</f>
        <v>0</v>
      </c>
      <c r="U19" s="13">
        <f>('TUSD BE'!$V$19+'TUSD BF'!$V$19+'TUSD CVA'!$V$19)*1</f>
        <v>0</v>
      </c>
      <c r="V19" s="13">
        <f>('TUSD BE'!$W$19+'TUSD BF'!$W$19+'TUSD CVA'!$W$19)*1</f>
        <v>0</v>
      </c>
      <c r="W19" s="13">
        <f>('TUSD BE'!$X$19+'TUSD BF'!$X$19+'TUSD CVA'!$X$19)*1</f>
        <v>0</v>
      </c>
      <c r="X19" s="13">
        <f>('TUSD BE'!$Y$19+'TUSD BF'!$Y$19+'TUSD CVA'!$Y$19)*1</f>
        <v>54.796707145088178</v>
      </c>
      <c r="Y19" s="13">
        <f>('TUSD BE'!$Z$19+'TUSD BF'!$Z$19+'TUSD CVA'!$Z$19)*1</f>
        <v>0</v>
      </c>
      <c r="Z19" s="13">
        <f>('TUSD BE'!$AA$19+'TUSD BF'!$AA$19+'TUSD CVA'!$AA$19)*1</f>
        <v>0</v>
      </c>
      <c r="AA19" s="13">
        <f>('TUSD BE'!$AC$19+'TUSD BF'!$AC$19+'TUSD CVA'!$AC$19)*1</f>
        <v>50.657791517883084</v>
      </c>
      <c r="AB19" s="13">
        <f ca="1">('TUSD BE'!$AE$19+'TUSD BF'!$AE$19+'TUSD CVA'!$AE$19)*1</f>
        <v>0</v>
      </c>
      <c r="AC19" s="13">
        <f ca="1">('TUSD BE'!$AF$19+'TUSD BF'!$AF$19+'TUSD CVA'!$AF$19)*1</f>
        <v>0</v>
      </c>
      <c r="AD19" s="13">
        <f>('TUSD BE'!$AH$19+'TUSD BF'!$AH$19+'TUSD CVA'!$AH$19)*1</f>
        <v>18.131916131990536</v>
      </c>
      <c r="AE19" s="13">
        <f>('TUSD BE'!$AI$19+'TUSD BF'!$AI$19+'TUSD CVA'!$AI$19)*1</f>
        <v>0</v>
      </c>
      <c r="AF19" s="13">
        <f ca="1">('TUSD BE'!$AJ$19+'TUSD BF'!$AJ$19+'TUSD CVA'!$AJ$19)*1</f>
        <v>0</v>
      </c>
      <c r="AG19" s="13">
        <f ca="1">('TUSD BE'!$AK$19+'TUSD BF'!$AK$19+'TUSD CVA'!$AK$19)*1</f>
        <v>0</v>
      </c>
      <c r="AI19" s="13">
        <v>0</v>
      </c>
      <c r="AJ19" s="13">
        <v>0.99652345323110003</v>
      </c>
      <c r="AK19" s="13">
        <v>0</v>
      </c>
      <c r="AL19" s="13">
        <v>0</v>
      </c>
      <c r="AM19" s="13">
        <v>0</v>
      </c>
      <c r="AN19" s="13">
        <v>70.730539957416596</v>
      </c>
      <c r="AO19" s="13">
        <v>10.7355989388252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53.333992762100102</v>
      </c>
      <c r="AV19" s="13">
        <v>0</v>
      </c>
      <c r="AW19" s="13">
        <v>0</v>
      </c>
      <c r="AX19" s="13">
        <v>52.203230755365503</v>
      </c>
      <c r="AY19" s="13">
        <v>0</v>
      </c>
      <c r="AZ19" s="13">
        <v>0</v>
      </c>
      <c r="BA19" s="13">
        <v>25.8785733583689</v>
      </c>
      <c r="BB19" s="13">
        <v>0</v>
      </c>
      <c r="BC19" s="13">
        <v>0</v>
      </c>
      <c r="BD19" s="13">
        <v>0</v>
      </c>
    </row>
    <row r="20" spans="1:56" ht="11.25" customHeight="1" x14ac:dyDescent="0.3">
      <c r="A20" s="91"/>
      <c r="B20" s="91" t="s">
        <v>23</v>
      </c>
      <c r="C20" s="91" t="s">
        <v>24</v>
      </c>
      <c r="D20" s="17" t="s">
        <v>24</v>
      </c>
      <c r="E20" s="17" t="s">
        <v>25</v>
      </c>
      <c r="F20" s="17" t="s">
        <v>25</v>
      </c>
      <c r="G20" s="18" t="s">
        <v>74</v>
      </c>
      <c r="H20" s="18" t="s">
        <v>68</v>
      </c>
      <c r="I20" s="18">
        <f>'MERCADO TUSD'!$U$17</f>
        <v>434.28799999999995</v>
      </c>
      <c r="J20" s="15"/>
      <c r="L20" s="13">
        <f>('TUSD BE'!$L$20+'TUSD BF'!$L$20+'TUSD CVA'!$L$20)*1</f>
        <v>0</v>
      </c>
      <c r="M20" s="13">
        <f>('TUSD BE'!$M$20+'TUSD BF'!$M$20+'TUSD CVA'!$M$20)*1</f>
        <v>0.79347206456283281</v>
      </c>
      <c r="N20" s="13">
        <f ca="1">('TUSD BE'!$N$20+'TUSD BF'!$N$20+'TUSD CVA'!$N$20)*1</f>
        <v>0</v>
      </c>
      <c r="O20" s="13">
        <f>('TUSD BE'!$O$20+'TUSD BF'!$O$20+'TUSD CVA'!$O$20)*1</f>
        <v>0</v>
      </c>
      <c r="P20" s="13">
        <f>('TUSD BE'!$P$20+'TUSD BF'!$P$20+'TUSD CVA'!$P$20)*1</f>
        <v>0</v>
      </c>
      <c r="Q20" s="13">
        <f>('TUSD BE'!$Q$20+'TUSD BF'!$Q$20+'TUSD CVA'!$Q$20)*1</f>
        <v>84.045131521457748</v>
      </c>
      <c r="R20" s="13">
        <f>('TUSD BE'!$R$20+'TUSD BF'!$R$20+'TUSD CVA'!$R$20)*1</f>
        <v>13.250155086493958</v>
      </c>
      <c r="S20" s="13">
        <f>('TUSD BE'!$S$20+'TUSD BF'!$S$20+'TUSD CVA'!$S$20)*1</f>
        <v>0</v>
      </c>
      <c r="T20" s="13">
        <f>('TUSD BE'!$U$20+'TUSD BF'!$U$20+'TUSD CVA'!$U$20)*1</f>
        <v>0</v>
      </c>
      <c r="U20" s="13">
        <f>('TUSD BE'!$V$20+'TUSD BF'!$V$20+'TUSD CVA'!$V$20)*1</f>
        <v>0</v>
      </c>
      <c r="V20" s="13">
        <f>('TUSD BE'!$W$20+'TUSD BF'!$W$20+'TUSD CVA'!$W$20)*1</f>
        <v>0</v>
      </c>
      <c r="W20" s="13">
        <f>('TUSD BE'!$X$20+'TUSD BF'!$X$20+'TUSD CVA'!$X$20)*1</f>
        <v>0</v>
      </c>
      <c r="X20" s="13">
        <f>('TUSD BE'!$Y$20+'TUSD BF'!$Y$20+'TUSD CVA'!$Y$20)*1</f>
        <v>101.33652286874542</v>
      </c>
      <c r="Y20" s="13">
        <f>('TUSD BE'!$Z$20+'TUSD BF'!$Z$20+'TUSD CVA'!$Z$20)*1</f>
        <v>0</v>
      </c>
      <c r="Z20" s="13">
        <f>('TUSD BE'!$AA$20+'TUSD BF'!$AA$20+'TUSD CVA'!$AA$20)*1</f>
        <v>0</v>
      </c>
      <c r="AA20" s="13">
        <f>('TUSD BE'!$AC$20+'TUSD BF'!$AC$20+'TUSD CVA'!$AC$20)*1</f>
        <v>93.810804888209603</v>
      </c>
      <c r="AB20" s="13">
        <f ca="1">('TUSD BE'!$AE$20+'TUSD BF'!$AE$20+'TUSD CVA'!$AE$20)*1</f>
        <v>0</v>
      </c>
      <c r="AC20" s="13">
        <f ca="1">('TUSD BE'!$AF$20+'TUSD BF'!$AF$20+'TUSD CVA'!$AF$20)*1</f>
        <v>0</v>
      </c>
      <c r="AD20" s="13">
        <f>('TUSD BE'!$AH$20+'TUSD BF'!$AH$20+'TUSD CVA'!$AH$20)*1</f>
        <v>18.131916131990536</v>
      </c>
      <c r="AE20" s="13">
        <f>('TUSD BE'!$AI$20+'TUSD BF'!$AI$20+'TUSD CVA'!$AI$20)*1</f>
        <v>0</v>
      </c>
      <c r="AF20" s="13">
        <f ca="1">('TUSD BE'!$AJ$20+'TUSD BF'!$AJ$20+'TUSD CVA'!$AJ$20)*1</f>
        <v>0</v>
      </c>
      <c r="AG20" s="13">
        <f ca="1">('TUSD BE'!$AK$20+'TUSD BF'!$AK$20+'TUSD CVA'!$AK$20)*1</f>
        <v>0</v>
      </c>
      <c r="AI20" s="13">
        <v>0</v>
      </c>
      <c r="AJ20" s="13">
        <v>0.99652345323110003</v>
      </c>
      <c r="AK20" s="13">
        <v>0</v>
      </c>
      <c r="AL20" s="13">
        <v>0</v>
      </c>
      <c r="AM20" s="13">
        <v>0</v>
      </c>
      <c r="AN20" s="13">
        <v>70.730539957416596</v>
      </c>
      <c r="AO20" s="13">
        <v>10.7355989388252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98.631491466758703</v>
      </c>
      <c r="AV20" s="13">
        <v>0</v>
      </c>
      <c r="AW20" s="13">
        <v>0</v>
      </c>
      <c r="AX20" s="13">
        <v>96.672737256394498</v>
      </c>
      <c r="AY20" s="13">
        <v>0</v>
      </c>
      <c r="AZ20" s="13">
        <v>0</v>
      </c>
      <c r="BA20" s="13">
        <v>25.8785733583689</v>
      </c>
      <c r="BB20" s="13">
        <v>0</v>
      </c>
      <c r="BC20" s="13">
        <v>0</v>
      </c>
      <c r="BD20" s="13">
        <v>0</v>
      </c>
    </row>
    <row r="21" spans="1:56" ht="11.25" customHeight="1" x14ac:dyDescent="0.3">
      <c r="A21" s="91"/>
      <c r="B21" s="91"/>
      <c r="C21" s="91"/>
      <c r="D21" s="17" t="s">
        <v>27</v>
      </c>
      <c r="E21" s="17" t="s">
        <v>25</v>
      </c>
      <c r="F21" s="17" t="s">
        <v>25</v>
      </c>
      <c r="G21" s="18" t="s">
        <v>74</v>
      </c>
      <c r="H21" s="18" t="s">
        <v>68</v>
      </c>
      <c r="I21" s="18">
        <f>'MERCADO TUSD'!$U$18</f>
        <v>2.37</v>
      </c>
      <c r="J21" s="15"/>
      <c r="L21" s="13">
        <f>('TUSD BE'!$L$21+'TUSD BF'!$L$21+'TUSD CVA'!$L$21)*(1 - 0.65)</f>
        <v>0</v>
      </c>
      <c r="M21" s="13">
        <f>('TUSD BE'!$M$21+'TUSD BF'!$M$21+'TUSD CVA'!$M$21)*(1 - 0.65)</f>
        <v>0.27771522259699144</v>
      </c>
      <c r="N21" s="13">
        <f ca="1">('TUSD BE'!$N$21+'TUSD BF'!$N$21+'TUSD CVA'!$N$21)*(1 - 0.65)</f>
        <v>0</v>
      </c>
      <c r="O21" s="13">
        <f>('TUSD BE'!$O$21+'TUSD BF'!$O$21+'TUSD CVA'!$O$21)*(1 - 0.65)</f>
        <v>0</v>
      </c>
      <c r="P21" s="13">
        <v>0</v>
      </c>
      <c r="Q21" s="13">
        <f>('TUSD BE'!$Q$21+'TUSD BF'!$Q$21+'TUSD CVA'!$Q$21)*(1 - 0.65)</f>
        <v>0</v>
      </c>
      <c r="R21" s="13">
        <v>0</v>
      </c>
      <c r="S21" s="13">
        <f>('TUSD BE'!$S$21+'TUSD BF'!$S$21+'TUSD CVA'!$S$21)*(1 - 0.65)</f>
        <v>0</v>
      </c>
      <c r="T21" s="13">
        <f>('TUSD BE'!$U$21+'TUSD BF'!$U$21+'TUSD CVA'!$U$21)*(1 - 0.65)</f>
        <v>0</v>
      </c>
      <c r="U21" s="13">
        <f>('TUSD BE'!$V$21+'TUSD BF'!$V$21+'TUSD CVA'!$V$21)*(1 - 0.65)</f>
        <v>0</v>
      </c>
      <c r="V21" s="13">
        <f>('TUSD BE'!$W$21+'TUSD BF'!$W$21+'TUSD CVA'!$W$21)*(1 - 0.65)</f>
        <v>0</v>
      </c>
      <c r="W21" s="13">
        <f>('TUSD BE'!$X$21+'TUSD BF'!$X$21+'TUSD CVA'!$X$21)*(1 - 0.65)</f>
        <v>0</v>
      </c>
      <c r="X21" s="13">
        <f>('TUSD BE'!$Y$21+'TUSD BF'!$Y$21+'TUSD CVA'!$Y$21)*(1 - 0.65)</f>
        <v>35.467783004060891</v>
      </c>
      <c r="Y21" s="13">
        <f>('TUSD BE'!$Z$21+'TUSD BF'!$Z$21+'TUSD CVA'!$Z$21)*(1 - 0.65)</f>
        <v>0</v>
      </c>
      <c r="Z21" s="13">
        <f>('TUSD BE'!$AA$21+'TUSD BF'!$AA$21+'TUSD CVA'!$AA$21)*(1 - 0.65)</f>
        <v>0</v>
      </c>
      <c r="AA21" s="13">
        <f>('TUSD BE'!$AC$21+'TUSD BF'!$AC$21+'TUSD CVA'!$AC$21)*(1 - 0.65)</f>
        <v>32.83378171087336</v>
      </c>
      <c r="AB21" s="13">
        <f ca="1">('TUSD BE'!$AE$21+'TUSD BF'!$AE$21+'TUSD CVA'!$AE$21)*(1 - 0.65)</f>
        <v>0</v>
      </c>
      <c r="AC21" s="13">
        <f ca="1">('TUSD BE'!$AF$21+'TUSD BF'!$AF$21+'TUSD CVA'!$AF$21)*(1 - 0.65)</f>
        <v>0</v>
      </c>
      <c r="AD21" s="13">
        <f>('TUSD BE'!$AH$21+'TUSD BF'!$AH$21+'TUSD CVA'!$AH$21)*(1 - 0.65)</f>
        <v>6.3461706461966871</v>
      </c>
      <c r="AE21" s="13">
        <f>('TUSD BE'!$AI$21+'TUSD BF'!$AI$21+'TUSD CVA'!$AI$21)*(1 - 0.65)</f>
        <v>0</v>
      </c>
      <c r="AF21" s="13">
        <f ca="1">('TUSD BE'!$AJ$21+'TUSD BF'!$AJ$21+'TUSD CVA'!$AJ$21)*(1 - 0.65)</f>
        <v>0</v>
      </c>
      <c r="AG21" s="13">
        <f ca="1">('TUSD BE'!$AK$21+'TUSD BF'!$AK$21+'TUSD CVA'!$AK$21)*(1 - 0.65)</f>
        <v>0</v>
      </c>
      <c r="AI21" s="13">
        <v>0</v>
      </c>
      <c r="AJ21" s="13">
        <v>0.34878320863088502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34.521022013365503</v>
      </c>
      <c r="AV21" s="13">
        <v>0</v>
      </c>
      <c r="AW21" s="13">
        <v>0</v>
      </c>
      <c r="AX21" s="13">
        <v>33.8354580397381</v>
      </c>
      <c r="AY21" s="13">
        <v>0</v>
      </c>
      <c r="AZ21" s="13">
        <v>0</v>
      </c>
      <c r="BA21" s="13">
        <v>9.0575006754291003</v>
      </c>
      <c r="BB21" s="13">
        <v>0</v>
      </c>
      <c r="BC21" s="13">
        <v>0</v>
      </c>
      <c r="BD21" s="13">
        <v>0</v>
      </c>
    </row>
    <row r="22" spans="1:56" ht="11.25" customHeight="1" x14ac:dyDescent="0.3">
      <c r="A22" s="91"/>
      <c r="B22" s="91"/>
      <c r="C22" s="91"/>
      <c r="D22" s="17" t="s">
        <v>28</v>
      </c>
      <c r="E22" s="17" t="s">
        <v>25</v>
      </c>
      <c r="F22" s="17" t="s">
        <v>25</v>
      </c>
      <c r="G22" s="18" t="s">
        <v>74</v>
      </c>
      <c r="H22" s="18" t="s">
        <v>68</v>
      </c>
      <c r="I22" s="18">
        <f>'MERCADO TUSD'!$U$19</f>
        <v>4.327</v>
      </c>
      <c r="J22" s="15"/>
      <c r="L22" s="13">
        <f>('TUSD BE'!$L$22+'TUSD BF'!$L$22+'TUSD CVA'!$L$22)*(1 - 0.4)</f>
        <v>0</v>
      </c>
      <c r="M22" s="13">
        <f>('TUSD BE'!$M$22+'TUSD BF'!$M$22+'TUSD CVA'!$M$22)*(1 - 0.4)</f>
        <v>0.47608323873769964</v>
      </c>
      <c r="N22" s="13">
        <f ca="1">('TUSD BE'!$N$22+'TUSD BF'!$N$22+'TUSD CVA'!$N$22)*(1 - 0.4)</f>
        <v>0</v>
      </c>
      <c r="O22" s="13">
        <f>('TUSD BE'!$O$22+'TUSD BF'!$O$22+'TUSD CVA'!$O$22)*(1 - 0.4)</f>
        <v>0</v>
      </c>
      <c r="P22" s="13">
        <v>0</v>
      </c>
      <c r="Q22" s="13">
        <f>('TUSD BE'!$Q$22+'TUSD BF'!$Q$22+'TUSD CVA'!$Q$22)*(1 - 0.4)</f>
        <v>0</v>
      </c>
      <c r="R22" s="13">
        <v>0</v>
      </c>
      <c r="S22" s="13">
        <f>('TUSD BE'!$S$22+'TUSD BF'!$S$22+'TUSD CVA'!$S$22)*(1 - 0.4)</f>
        <v>0</v>
      </c>
      <c r="T22" s="13">
        <f>('TUSD BE'!$U$22+'TUSD BF'!$U$22+'TUSD CVA'!$U$22)*(1 - 0.4)</f>
        <v>0</v>
      </c>
      <c r="U22" s="13">
        <f>('TUSD BE'!$V$22+'TUSD BF'!$V$22+'TUSD CVA'!$V$22)*(1 - 0.4)</f>
        <v>0</v>
      </c>
      <c r="V22" s="13">
        <f>('TUSD BE'!$W$22+'TUSD BF'!$W$22+'TUSD CVA'!$W$22)*(1 - 0.4)</f>
        <v>0</v>
      </c>
      <c r="W22" s="13">
        <f>('TUSD BE'!$X$22+'TUSD BF'!$X$22+'TUSD CVA'!$X$22)*(1 - 0.4)</f>
        <v>0</v>
      </c>
      <c r="X22" s="13">
        <f>('TUSD BE'!$Y$22+'TUSD BF'!$Y$22+'TUSD CVA'!$Y$22)*(1 - 0.4)</f>
        <v>60.801913721247246</v>
      </c>
      <c r="Y22" s="13">
        <f>('TUSD BE'!$Z$22+'TUSD BF'!$Z$22+'TUSD CVA'!$Z$22)*(1 - 0.4)</f>
        <v>0</v>
      </c>
      <c r="Z22" s="13">
        <f>('TUSD BE'!$AA$22+'TUSD BF'!$AA$22+'TUSD CVA'!$AA$22)*(1 - 0.4)</f>
        <v>0</v>
      </c>
      <c r="AA22" s="13">
        <f>('TUSD BE'!$AC$22+'TUSD BF'!$AC$22+'TUSD CVA'!$AC$22)*(1 - 0.4)</f>
        <v>56.286482932925757</v>
      </c>
      <c r="AB22" s="13">
        <f ca="1">('TUSD BE'!$AE$22+'TUSD BF'!$AE$22+'TUSD CVA'!$AE$22)*(1 - 0.4)</f>
        <v>0</v>
      </c>
      <c r="AC22" s="13">
        <f ca="1">('TUSD BE'!$AF$22+'TUSD BF'!$AF$22+'TUSD CVA'!$AF$22)*(1 - 0.4)</f>
        <v>0</v>
      </c>
      <c r="AD22" s="13">
        <f>('TUSD BE'!$AH$22+'TUSD BF'!$AH$22+'TUSD CVA'!$AH$22)*(1 - 0.4)</f>
        <v>10.879149679194322</v>
      </c>
      <c r="AE22" s="13">
        <f>('TUSD BE'!$AI$22+'TUSD BF'!$AI$22+'TUSD CVA'!$AI$22)*(1 - 0.4)</f>
        <v>0</v>
      </c>
      <c r="AF22" s="13">
        <f ca="1">('TUSD BE'!$AJ$22+'TUSD BF'!$AJ$22+'TUSD CVA'!$AJ$22)*(1 - 0.4)</f>
        <v>0</v>
      </c>
      <c r="AG22" s="13">
        <f ca="1">('TUSD BE'!$AK$22+'TUSD BF'!$AK$22+'TUSD CVA'!$AK$22)*(1 - 0.4)</f>
        <v>0</v>
      </c>
      <c r="AI22" s="13">
        <v>0</v>
      </c>
      <c r="AJ22" s="13">
        <v>0.59791407193865997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59.178894880055203</v>
      </c>
      <c r="AV22" s="13">
        <v>0</v>
      </c>
      <c r="AW22" s="13">
        <v>0</v>
      </c>
      <c r="AX22" s="13">
        <v>58.003642353836703</v>
      </c>
      <c r="AY22" s="13">
        <v>0</v>
      </c>
      <c r="AZ22" s="13">
        <v>0</v>
      </c>
      <c r="BA22" s="13">
        <v>15.5271440150213</v>
      </c>
      <c r="BB22" s="13">
        <v>0</v>
      </c>
      <c r="BC22" s="13">
        <v>0</v>
      </c>
      <c r="BD22" s="13">
        <v>0</v>
      </c>
    </row>
    <row r="23" spans="1:56" ht="11.25" customHeight="1" x14ac:dyDescent="0.3">
      <c r="A23" s="91"/>
      <c r="B23" s="91"/>
      <c r="C23" s="91"/>
      <c r="D23" s="17" t="s">
        <v>29</v>
      </c>
      <c r="E23" s="17" t="s">
        <v>25</v>
      </c>
      <c r="F23" s="17" t="s">
        <v>25</v>
      </c>
      <c r="G23" s="18" t="s">
        <v>74</v>
      </c>
      <c r="H23" s="18" t="s">
        <v>68</v>
      </c>
      <c r="I23" s="18">
        <f>'MERCADO TUSD'!$U$20</f>
        <v>5.7929999999999993</v>
      </c>
      <c r="J23" s="15"/>
      <c r="L23" s="13">
        <f>('TUSD BE'!$L$23+'TUSD BF'!$L$23+'TUSD CVA'!$L$23)*(1 - 0.1)</f>
        <v>0</v>
      </c>
      <c r="M23" s="13">
        <f>('TUSD BE'!$M$23+'TUSD BF'!$M$23+'TUSD CVA'!$M$23)*(1 - 0.1)</f>
        <v>0.71412485810654958</v>
      </c>
      <c r="N23" s="13">
        <f ca="1">('TUSD BE'!$N$23+'TUSD BF'!$N$23+'TUSD CVA'!$N$23)*(1 - 0.1)</f>
        <v>0</v>
      </c>
      <c r="O23" s="13">
        <f>('TUSD BE'!$O$23+'TUSD BF'!$O$23+'TUSD CVA'!$O$23)*(1 - 0.1)</f>
        <v>0</v>
      </c>
      <c r="P23" s="13">
        <v>0</v>
      </c>
      <c r="Q23" s="13">
        <f>('TUSD BE'!$Q$23+'TUSD BF'!$Q$23+'TUSD CVA'!$Q$23)*(1 - 0.1)</f>
        <v>0</v>
      </c>
      <c r="R23" s="13">
        <v>0</v>
      </c>
      <c r="S23" s="13">
        <f>('TUSD BE'!$S$23+'TUSD BF'!$S$23+'TUSD CVA'!$S$23)*(1 - 0.1)</f>
        <v>0</v>
      </c>
      <c r="T23" s="13">
        <f>('TUSD BE'!$U$23+'TUSD BF'!$U$23+'TUSD CVA'!$U$23)*(1 - 0.1)</f>
        <v>0</v>
      </c>
      <c r="U23" s="13">
        <f>('TUSD BE'!$V$23+'TUSD BF'!$V$23+'TUSD CVA'!$V$23)*(1 - 0.1)</f>
        <v>0</v>
      </c>
      <c r="V23" s="13">
        <f>('TUSD BE'!$W$23+'TUSD BF'!$W$23+'TUSD CVA'!$W$23)*(1 - 0.1)</f>
        <v>0</v>
      </c>
      <c r="W23" s="13">
        <f>('TUSD BE'!$X$23+'TUSD BF'!$X$23+'TUSD CVA'!$X$23)*(1 - 0.1)</f>
        <v>0</v>
      </c>
      <c r="X23" s="13">
        <f>('TUSD BE'!$Y$23+'TUSD BF'!$Y$23+'TUSD CVA'!$Y$23)*(1 - 0.1)</f>
        <v>91.202870581870883</v>
      </c>
      <c r="Y23" s="13">
        <f>('TUSD BE'!$Z$23+'TUSD BF'!$Z$23+'TUSD CVA'!$Z$23)*(1 - 0.1)</f>
        <v>0</v>
      </c>
      <c r="Z23" s="13">
        <f>('TUSD BE'!$AA$23+'TUSD BF'!$AA$23+'TUSD CVA'!$AA$23)*(1 - 0.1)</f>
        <v>0</v>
      </c>
      <c r="AA23" s="13">
        <f>('TUSD BE'!$AC$23+'TUSD BF'!$AC$23+'TUSD CVA'!$AC$23)*(1 - 0.1)</f>
        <v>84.429724399388647</v>
      </c>
      <c r="AB23" s="13">
        <f ca="1">('TUSD BE'!$AE$23+'TUSD BF'!$AE$23+'TUSD CVA'!$AE$23)*(1 - 0.1)</f>
        <v>0</v>
      </c>
      <c r="AC23" s="13">
        <f ca="1">('TUSD BE'!$AF$23+'TUSD BF'!$AF$23+'TUSD CVA'!$AF$23)*(1 - 0.1)</f>
        <v>0</v>
      </c>
      <c r="AD23" s="13">
        <f>('TUSD BE'!$AH$23+'TUSD BF'!$AH$23+'TUSD CVA'!$AH$23)*(1 - 0.1)</f>
        <v>16.318724518791484</v>
      </c>
      <c r="AE23" s="13">
        <f>('TUSD BE'!$AI$23+'TUSD BF'!$AI$23+'TUSD CVA'!$AI$23)*(1 - 0.1)</f>
        <v>0</v>
      </c>
      <c r="AF23" s="13">
        <f ca="1">('TUSD BE'!$AJ$23+'TUSD BF'!$AJ$23+'TUSD CVA'!$AJ$23)*(1 - 0.1)</f>
        <v>0</v>
      </c>
      <c r="AG23" s="13">
        <f ca="1">('TUSD BE'!$AK$23+'TUSD BF'!$AK$23+'TUSD CVA'!$AK$23)*(1 - 0.1)</f>
        <v>0</v>
      </c>
      <c r="AI23" s="13">
        <v>0</v>
      </c>
      <c r="AJ23" s="13">
        <v>0.89687110790798996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88.768342320082894</v>
      </c>
      <c r="AV23" s="13">
        <v>0</v>
      </c>
      <c r="AW23" s="13">
        <v>0</v>
      </c>
      <c r="AX23" s="13">
        <v>87.005463530755094</v>
      </c>
      <c r="AY23" s="13">
        <v>0</v>
      </c>
      <c r="AZ23" s="13">
        <v>0</v>
      </c>
      <c r="BA23" s="13">
        <v>23.290716022531999</v>
      </c>
      <c r="BB23" s="13">
        <v>0</v>
      </c>
      <c r="BC23" s="13">
        <v>0</v>
      </c>
      <c r="BD23" s="13">
        <v>0</v>
      </c>
    </row>
    <row r="24" spans="1:56" ht="11.25" customHeight="1" x14ac:dyDescent="0.3">
      <c r="A24" s="91"/>
      <c r="B24" s="91"/>
      <c r="C24" s="91"/>
      <c r="D24" s="17" t="s">
        <v>30</v>
      </c>
      <c r="E24" s="17" t="s">
        <v>25</v>
      </c>
      <c r="F24" s="17" t="s">
        <v>25</v>
      </c>
      <c r="G24" s="18" t="s">
        <v>74</v>
      </c>
      <c r="H24" s="18" t="s">
        <v>68</v>
      </c>
      <c r="I24" s="18">
        <f>'MERCADO TUSD'!$U$21</f>
        <v>2.0990000000000002</v>
      </c>
      <c r="J24" s="15"/>
      <c r="L24" s="13">
        <f>('TUSD BE'!$L$24+'TUSD BF'!$L$24+'TUSD CVA'!$L$24)*1</f>
        <v>0</v>
      </c>
      <c r="M24" s="13">
        <f>('TUSD BE'!$M$24+'TUSD BF'!$M$24+'TUSD CVA'!$M$24)*1</f>
        <v>0.79347206456283281</v>
      </c>
      <c r="N24" s="13">
        <f ca="1">('TUSD BE'!$N$24+'TUSD BF'!$N$24+'TUSD CVA'!$N$24)*1</f>
        <v>0</v>
      </c>
      <c r="O24" s="13">
        <f>('TUSD BE'!$O$24+'TUSD BF'!$O$24+'TUSD CVA'!$O$24)*1</f>
        <v>0</v>
      </c>
      <c r="P24" s="13">
        <v>0</v>
      </c>
      <c r="Q24" s="13">
        <f>('TUSD BE'!$Q$24+'TUSD BF'!$Q$24+'TUSD CVA'!$Q$24)*1</f>
        <v>0</v>
      </c>
      <c r="R24" s="13">
        <v>0</v>
      </c>
      <c r="S24" s="13">
        <f>('TUSD BE'!$S$24+'TUSD BF'!$S$24+'TUSD CVA'!$S$24)*1</f>
        <v>0</v>
      </c>
      <c r="T24" s="13">
        <f>('TUSD BE'!$U$24+'TUSD BF'!$U$24+'TUSD CVA'!$U$24)*1</f>
        <v>0</v>
      </c>
      <c r="U24" s="13">
        <f>('TUSD BE'!$V$24+'TUSD BF'!$V$24+'TUSD CVA'!$V$24)*1</f>
        <v>0</v>
      </c>
      <c r="V24" s="13">
        <f>('TUSD BE'!$W$24+'TUSD BF'!$W$24+'TUSD CVA'!$W$24)*1</f>
        <v>0</v>
      </c>
      <c r="W24" s="13">
        <f>('TUSD BE'!$X$24+'TUSD BF'!$X$24+'TUSD CVA'!$X$24)*1</f>
        <v>0</v>
      </c>
      <c r="X24" s="13">
        <f>('TUSD BE'!$Y$24+'TUSD BF'!$Y$24+'TUSD CVA'!$Y$24)*1</f>
        <v>101.33652286874542</v>
      </c>
      <c r="Y24" s="13">
        <f>('TUSD BE'!$Z$24+'TUSD BF'!$Z$24+'TUSD CVA'!$Z$24)*1</f>
        <v>0</v>
      </c>
      <c r="Z24" s="13">
        <f>('TUSD BE'!$AA$24+'TUSD BF'!$AA$24+'TUSD CVA'!$AA$24)*1</f>
        <v>0</v>
      </c>
      <c r="AA24" s="13">
        <f>('TUSD BE'!$AC$24+'TUSD BF'!$AC$24+'TUSD CVA'!$AC$24)*1</f>
        <v>93.810804888209603</v>
      </c>
      <c r="AB24" s="13">
        <f ca="1">('TUSD BE'!$AE$24+'TUSD BF'!$AE$24+'TUSD CVA'!$AE$24)*1</f>
        <v>0</v>
      </c>
      <c r="AC24" s="13">
        <f ca="1">('TUSD BE'!$AF$24+'TUSD BF'!$AF$24+'TUSD CVA'!$AF$24)*1</f>
        <v>0</v>
      </c>
      <c r="AD24" s="13">
        <f>('TUSD BE'!$AH$24+'TUSD BF'!$AH$24+'TUSD CVA'!$AH$24)*1</f>
        <v>18.131916131990536</v>
      </c>
      <c r="AE24" s="13">
        <f>('TUSD BE'!$AI$24+'TUSD BF'!$AI$24+'TUSD CVA'!$AI$24)*1</f>
        <v>0</v>
      </c>
      <c r="AF24" s="13">
        <f ca="1">('TUSD BE'!$AJ$24+'TUSD BF'!$AJ$24+'TUSD CVA'!$AJ$24)*1</f>
        <v>0</v>
      </c>
      <c r="AG24" s="13">
        <f ca="1">('TUSD BE'!$AK$24+'TUSD BF'!$AK$24+'TUSD CVA'!$AK$24)*1</f>
        <v>0</v>
      </c>
      <c r="AI24" s="13">
        <v>0</v>
      </c>
      <c r="AJ24" s="13">
        <v>0.99652345323110003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98.631491466758703</v>
      </c>
      <c r="AV24" s="13">
        <v>0</v>
      </c>
      <c r="AW24" s="13">
        <v>0</v>
      </c>
      <c r="AX24" s="13">
        <v>96.672737256394498</v>
      </c>
      <c r="AY24" s="13">
        <v>0</v>
      </c>
      <c r="AZ24" s="13">
        <v>0</v>
      </c>
      <c r="BA24" s="13">
        <v>25.8785733583689</v>
      </c>
      <c r="BB24" s="13">
        <v>0</v>
      </c>
      <c r="BC24" s="13">
        <v>0</v>
      </c>
      <c r="BD24" s="13">
        <v>0</v>
      </c>
    </row>
    <row r="25" spans="1:56" ht="11.25" customHeight="1" x14ac:dyDescent="0.3">
      <c r="A25" s="91"/>
      <c r="B25" s="91" t="s">
        <v>84</v>
      </c>
      <c r="C25" s="91" t="s">
        <v>24</v>
      </c>
      <c r="D25" s="17" t="s">
        <v>24</v>
      </c>
      <c r="E25" s="17" t="s">
        <v>25</v>
      </c>
      <c r="F25" s="17" t="s">
        <v>25</v>
      </c>
      <c r="G25" s="18" t="s">
        <v>74</v>
      </c>
      <c r="H25" s="18" t="s">
        <v>68</v>
      </c>
      <c r="I25" s="18">
        <f>'MERCADO TUSD'!$U$22</f>
        <v>0</v>
      </c>
      <c r="J25" s="15"/>
      <c r="L25" s="13">
        <f>('TUSD BE'!$L$25+'TUSD BF'!$L$25+'TUSD CVA'!$L$25)*1</f>
        <v>0</v>
      </c>
      <c r="M25" s="13">
        <f>('TUSD BE'!$M$25+'TUSD BF'!$M$25+'TUSD CVA'!$M$25)*1</f>
        <v>0.79347206456283281</v>
      </c>
      <c r="N25" s="13">
        <f ca="1">('TUSD BE'!$N$25+'TUSD BF'!$N$25+'TUSD CVA'!$N$25)*1</f>
        <v>0</v>
      </c>
      <c r="O25" s="13">
        <f>('TUSD BE'!$O$25+'TUSD BF'!$O$25+'TUSD CVA'!$O$25)*1</f>
        <v>0</v>
      </c>
      <c r="P25" s="13">
        <f>('TUSD BE'!$P$25+'TUSD BF'!$P$25+'TUSD CVA'!$P$25)*1</f>
        <v>0</v>
      </c>
      <c r="Q25" s="13">
        <f>('TUSD BE'!$Q$25+'TUSD BF'!$Q$25+'TUSD CVA'!$Q$25)*1</f>
        <v>84.045131521457748</v>
      </c>
      <c r="R25" s="13">
        <f>('TUSD BE'!$R$25+'TUSD BF'!$R$25+'TUSD CVA'!$R$25)*1</f>
        <v>13.250155086493958</v>
      </c>
      <c r="S25" s="13">
        <f>('TUSD BE'!$S$25+'TUSD BF'!$S$25+'TUSD CVA'!$S$25)*1</f>
        <v>0</v>
      </c>
      <c r="T25" s="13">
        <f>('TUSD BE'!$U$25+'TUSD BF'!$U$25+'TUSD CVA'!$U$25)*1</f>
        <v>0</v>
      </c>
      <c r="U25" s="13">
        <f>('TUSD BE'!$V$25+'TUSD BF'!$V$25+'TUSD CVA'!$V$25)*1</f>
        <v>0</v>
      </c>
      <c r="V25" s="13">
        <f>('TUSD BE'!$W$25+'TUSD BF'!$W$25+'TUSD CVA'!$W$25)*1</f>
        <v>0</v>
      </c>
      <c r="W25" s="13">
        <f>('TUSD BE'!$X$25+'TUSD BF'!$X$25+'TUSD CVA'!$X$25)*1</f>
        <v>0</v>
      </c>
      <c r="X25" s="13">
        <f>('TUSD BE'!$Y$25+'TUSD BF'!$Y$25+'TUSD CVA'!$Y$25)*1</f>
        <v>0</v>
      </c>
      <c r="Y25" s="13">
        <f>('TUSD BE'!$Z$25+'TUSD BF'!$Z$25+'TUSD CVA'!$Z$25)*1</f>
        <v>0</v>
      </c>
      <c r="Z25" s="13">
        <f>('TUSD BE'!$AA$25+'TUSD BF'!$AA$25+'TUSD CVA'!$AA$25)*1</f>
        <v>0</v>
      </c>
      <c r="AA25" s="13">
        <f>('TUSD BE'!$AC$25+'TUSD BF'!$AC$25+'TUSD CVA'!$AC$25)*1</f>
        <v>0</v>
      </c>
      <c r="AB25" s="13">
        <f ca="1">('TUSD BE'!$AE$25+'TUSD BF'!$AE$25+'TUSD CVA'!$AE$25)*1</f>
        <v>0</v>
      </c>
      <c r="AC25" s="13">
        <f ca="1">('TUSD BE'!$AF$25+'TUSD BF'!$AF$25+'TUSD CVA'!$AF$25)*1</f>
        <v>0</v>
      </c>
      <c r="AD25" s="13">
        <f>('TUSD BE'!$AH$25+'TUSD BF'!$AH$25+'TUSD CVA'!$AH$25)*1</f>
        <v>0</v>
      </c>
      <c r="AE25" s="13">
        <f>('TUSD BE'!$AI$25+'TUSD BF'!$AI$25+'TUSD CVA'!$AI$25)*1</f>
        <v>0</v>
      </c>
      <c r="AF25" s="13">
        <f ca="1">('TUSD BE'!$AJ$25+'TUSD BF'!$AJ$25+'TUSD CVA'!$AJ$25)*1</f>
        <v>0</v>
      </c>
      <c r="AG25" s="13">
        <f ca="1">('TUSD BE'!$AK$25+'TUSD BF'!$AK$25+'TUSD CVA'!$AK$25)*1</f>
        <v>0</v>
      </c>
      <c r="AI25" s="13">
        <v>0</v>
      </c>
      <c r="AJ25" s="13">
        <v>0.99652345323110003</v>
      </c>
      <c r="AK25" s="13">
        <v>0</v>
      </c>
      <c r="AL25" s="13">
        <v>0</v>
      </c>
      <c r="AM25" s="13">
        <v>0</v>
      </c>
      <c r="AN25" s="13">
        <v>70.730539957416596</v>
      </c>
      <c r="AO25" s="13">
        <v>10.7355989388252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98.631491466758703</v>
      </c>
      <c r="AV25" s="13">
        <v>0</v>
      </c>
      <c r="AW25" s="13">
        <v>0</v>
      </c>
      <c r="AX25" s="13">
        <v>96.672737256394498</v>
      </c>
      <c r="AY25" s="13">
        <v>0</v>
      </c>
      <c r="AZ25" s="13">
        <v>0</v>
      </c>
      <c r="BA25" s="13">
        <v>25.8785733583689</v>
      </c>
      <c r="BB25" s="13">
        <v>0</v>
      </c>
      <c r="BC25" s="13">
        <v>0</v>
      </c>
      <c r="BD25" s="13">
        <v>0</v>
      </c>
    </row>
    <row r="26" spans="1:56" ht="11.25" customHeight="1" x14ac:dyDescent="0.3">
      <c r="A26" s="91"/>
      <c r="B26" s="91"/>
      <c r="C26" s="91"/>
      <c r="D26" s="17" t="s">
        <v>27</v>
      </c>
      <c r="E26" s="17" t="s">
        <v>25</v>
      </c>
      <c r="F26" s="17" t="s">
        <v>25</v>
      </c>
      <c r="G26" s="18" t="s">
        <v>74</v>
      </c>
      <c r="H26" s="18" t="s">
        <v>68</v>
      </c>
      <c r="I26" s="18">
        <f>'MERCADO TUSD'!$U$23</f>
        <v>0</v>
      </c>
      <c r="J26" s="15"/>
      <c r="L26" s="13">
        <f>('TUSD BE'!$L$26+'TUSD BF'!$L$26+'TUSD CVA'!$L$26)*(1 - 0.65)</f>
        <v>0</v>
      </c>
      <c r="M26" s="13">
        <f>('TUSD BE'!$M$26+'TUSD BF'!$M$26+'TUSD CVA'!$M$26)*(1 - 0.65)</f>
        <v>0.27771522259699144</v>
      </c>
      <c r="N26" s="13">
        <f ca="1">('TUSD BE'!$N$26+'TUSD BF'!$N$26+'TUSD CVA'!$N$26)*(1 - 0.65)</f>
        <v>0</v>
      </c>
      <c r="O26" s="13">
        <f>('TUSD BE'!$O$26+'TUSD BF'!$O$26+'TUSD CVA'!$O$26)*(1 - 0.65)</f>
        <v>0</v>
      </c>
      <c r="P26" s="13">
        <v>0</v>
      </c>
      <c r="Q26" s="13">
        <f>('TUSD BE'!$Q$26+'TUSD BF'!$Q$26+'TUSD CVA'!$Q$26)*(1 - 0.65)</f>
        <v>0</v>
      </c>
      <c r="R26" s="13">
        <v>0</v>
      </c>
      <c r="S26" s="13">
        <f>('TUSD BE'!$S$26+'TUSD BF'!$S$26+'TUSD CVA'!$S$26)*(1 - 0.65)</f>
        <v>0</v>
      </c>
      <c r="T26" s="13">
        <f>('TUSD BE'!$U$26+'TUSD BF'!$U$26+'TUSD CVA'!$U$26)*(1 - 0.65)</f>
        <v>0</v>
      </c>
      <c r="U26" s="13">
        <f>('TUSD BE'!$V$26+'TUSD BF'!$V$26+'TUSD CVA'!$V$26)*(1 - 0.65)</f>
        <v>0</v>
      </c>
      <c r="V26" s="13">
        <f>('TUSD BE'!$W$26+'TUSD BF'!$W$26+'TUSD CVA'!$W$26)*(1 - 0.65)</f>
        <v>0</v>
      </c>
      <c r="W26" s="13">
        <f>('TUSD BE'!$X$26+'TUSD BF'!$X$26+'TUSD CVA'!$X$26)*(1 - 0.65)</f>
        <v>0</v>
      </c>
      <c r="X26" s="13">
        <f>('TUSD BE'!$Y$26+'TUSD BF'!$Y$26+'TUSD CVA'!$Y$26)*(1 - 0.65)</f>
        <v>0</v>
      </c>
      <c r="Y26" s="13">
        <f>('TUSD BE'!$Z$26+'TUSD BF'!$Z$26+'TUSD CVA'!$Z$26)*(1 - 0.65)</f>
        <v>0</v>
      </c>
      <c r="Z26" s="13">
        <f>('TUSD BE'!$AA$26+'TUSD BF'!$AA$26+'TUSD CVA'!$AA$26)*(1 - 0.65)</f>
        <v>0</v>
      </c>
      <c r="AA26" s="13">
        <f>('TUSD BE'!$AC$26+'TUSD BF'!$AC$26+'TUSD CVA'!$AC$26)*(1 - 0.65)</f>
        <v>0</v>
      </c>
      <c r="AB26" s="13">
        <f ca="1">('TUSD BE'!$AE$26+'TUSD BF'!$AE$26+'TUSD CVA'!$AE$26)*(1 - 0.65)</f>
        <v>0</v>
      </c>
      <c r="AC26" s="13">
        <f ca="1">('TUSD BE'!$AF$26+'TUSD BF'!$AF$26+'TUSD CVA'!$AF$26)*(1 - 0.65)</f>
        <v>0</v>
      </c>
      <c r="AD26" s="13">
        <f>('TUSD BE'!$AH$26+'TUSD BF'!$AH$26+'TUSD CVA'!$AH$26)*(1 - 0.65)</f>
        <v>0</v>
      </c>
      <c r="AE26" s="13">
        <f>('TUSD BE'!$AI$26+'TUSD BF'!$AI$26+'TUSD CVA'!$AI$26)*(1 - 0.65)</f>
        <v>0</v>
      </c>
      <c r="AF26" s="13">
        <f ca="1">('TUSD BE'!$AJ$26+'TUSD BF'!$AJ$26+'TUSD CVA'!$AJ$26)*(1 - 0.65)</f>
        <v>0</v>
      </c>
      <c r="AG26" s="13">
        <f ca="1">('TUSD BE'!$AK$26+'TUSD BF'!$AK$26+'TUSD CVA'!$AK$26)*(1 - 0.65)</f>
        <v>0</v>
      </c>
      <c r="AI26" s="13">
        <v>0</v>
      </c>
      <c r="AJ26" s="13">
        <v>0.34878320863088502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34.521022013365503</v>
      </c>
      <c r="AV26" s="13">
        <v>0</v>
      </c>
      <c r="AW26" s="13">
        <v>0</v>
      </c>
      <c r="AX26" s="13">
        <v>33.8354580397381</v>
      </c>
      <c r="AY26" s="13">
        <v>0</v>
      </c>
      <c r="AZ26" s="13">
        <v>0</v>
      </c>
      <c r="BA26" s="13">
        <v>9.0575006754291003</v>
      </c>
      <c r="BB26" s="13">
        <v>0</v>
      </c>
      <c r="BC26" s="13">
        <v>0</v>
      </c>
      <c r="BD26" s="13">
        <v>0</v>
      </c>
    </row>
    <row r="27" spans="1:56" ht="11.25" customHeight="1" x14ac:dyDescent="0.3">
      <c r="A27" s="91"/>
      <c r="B27" s="91"/>
      <c r="C27" s="91"/>
      <c r="D27" s="17" t="s">
        <v>28</v>
      </c>
      <c r="E27" s="17" t="s">
        <v>25</v>
      </c>
      <c r="F27" s="17" t="s">
        <v>25</v>
      </c>
      <c r="G27" s="18" t="s">
        <v>74</v>
      </c>
      <c r="H27" s="18" t="s">
        <v>68</v>
      </c>
      <c r="I27" s="18">
        <f>'MERCADO TUSD'!$U$24</f>
        <v>0</v>
      </c>
      <c r="J27" s="15"/>
      <c r="L27" s="13">
        <f>('TUSD BE'!$L$27+'TUSD BF'!$L$27+'TUSD CVA'!$L$27)*(1 - 0.4)</f>
        <v>0</v>
      </c>
      <c r="M27" s="13">
        <f>('TUSD BE'!$M$27+'TUSD BF'!$M$27+'TUSD CVA'!$M$27)*(1 - 0.4)</f>
        <v>0.47608323873769964</v>
      </c>
      <c r="N27" s="13">
        <f ca="1">('TUSD BE'!$N$27+'TUSD BF'!$N$27+'TUSD CVA'!$N$27)*(1 - 0.4)</f>
        <v>0</v>
      </c>
      <c r="O27" s="13">
        <f>('TUSD BE'!$O$27+'TUSD BF'!$O$27+'TUSD CVA'!$O$27)*(1 - 0.4)</f>
        <v>0</v>
      </c>
      <c r="P27" s="13">
        <v>0</v>
      </c>
      <c r="Q27" s="13">
        <f>('TUSD BE'!$Q$27+'TUSD BF'!$Q$27+'TUSD CVA'!$Q$27)*(1 - 0.4)</f>
        <v>0</v>
      </c>
      <c r="R27" s="13">
        <v>0</v>
      </c>
      <c r="S27" s="13">
        <f>('TUSD BE'!$S$27+'TUSD BF'!$S$27+'TUSD CVA'!$S$27)*(1 - 0.4)</f>
        <v>0</v>
      </c>
      <c r="T27" s="13">
        <f>('TUSD BE'!$U$27+'TUSD BF'!$U$27+'TUSD CVA'!$U$27)*(1 - 0.4)</f>
        <v>0</v>
      </c>
      <c r="U27" s="13">
        <f>('TUSD BE'!$V$27+'TUSD BF'!$V$27+'TUSD CVA'!$V$27)*(1 - 0.4)</f>
        <v>0</v>
      </c>
      <c r="V27" s="13">
        <f>('TUSD BE'!$W$27+'TUSD BF'!$W$27+'TUSD CVA'!$W$27)*(1 - 0.4)</f>
        <v>0</v>
      </c>
      <c r="W27" s="13">
        <f>('TUSD BE'!$X$27+'TUSD BF'!$X$27+'TUSD CVA'!$X$27)*(1 - 0.4)</f>
        <v>0</v>
      </c>
      <c r="X27" s="13">
        <f>('TUSD BE'!$Y$27+'TUSD BF'!$Y$27+'TUSD CVA'!$Y$27)*(1 - 0.4)</f>
        <v>0</v>
      </c>
      <c r="Y27" s="13">
        <f>('TUSD BE'!$Z$27+'TUSD BF'!$Z$27+'TUSD CVA'!$Z$27)*(1 - 0.4)</f>
        <v>0</v>
      </c>
      <c r="Z27" s="13">
        <f>('TUSD BE'!$AA$27+'TUSD BF'!$AA$27+'TUSD CVA'!$AA$27)*(1 - 0.4)</f>
        <v>0</v>
      </c>
      <c r="AA27" s="13">
        <f>('TUSD BE'!$AC$27+'TUSD BF'!$AC$27+'TUSD CVA'!$AC$27)*(1 - 0.4)</f>
        <v>0</v>
      </c>
      <c r="AB27" s="13">
        <f ca="1">('TUSD BE'!$AE$27+'TUSD BF'!$AE$27+'TUSD CVA'!$AE$27)*(1 - 0.4)</f>
        <v>0</v>
      </c>
      <c r="AC27" s="13">
        <f ca="1">('TUSD BE'!$AF$27+'TUSD BF'!$AF$27+'TUSD CVA'!$AF$27)*(1 - 0.4)</f>
        <v>0</v>
      </c>
      <c r="AD27" s="13">
        <f>('TUSD BE'!$AH$27+'TUSD BF'!$AH$27+'TUSD CVA'!$AH$27)*(1 - 0.4)</f>
        <v>0</v>
      </c>
      <c r="AE27" s="13">
        <f>('TUSD BE'!$AI$27+'TUSD BF'!$AI$27+'TUSD CVA'!$AI$27)*(1 - 0.4)</f>
        <v>0</v>
      </c>
      <c r="AF27" s="13">
        <f ca="1">('TUSD BE'!$AJ$27+'TUSD BF'!$AJ$27+'TUSD CVA'!$AJ$27)*(1 - 0.4)</f>
        <v>0</v>
      </c>
      <c r="AG27" s="13">
        <f ca="1">('TUSD BE'!$AK$27+'TUSD BF'!$AK$27+'TUSD CVA'!$AK$27)*(1 - 0.4)</f>
        <v>0</v>
      </c>
      <c r="AI27" s="13">
        <v>0</v>
      </c>
      <c r="AJ27" s="13">
        <v>0.59791407193865997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59.178894880055203</v>
      </c>
      <c r="AV27" s="13">
        <v>0</v>
      </c>
      <c r="AW27" s="13">
        <v>0</v>
      </c>
      <c r="AX27" s="13">
        <v>58.003642353836703</v>
      </c>
      <c r="AY27" s="13">
        <v>0</v>
      </c>
      <c r="AZ27" s="13">
        <v>0</v>
      </c>
      <c r="BA27" s="13">
        <v>15.5271440150213</v>
      </c>
      <c r="BB27" s="13">
        <v>0</v>
      </c>
      <c r="BC27" s="13">
        <v>0</v>
      </c>
      <c r="BD27" s="13">
        <v>0</v>
      </c>
    </row>
    <row r="28" spans="1:56" ht="11.25" customHeight="1" x14ac:dyDescent="0.3">
      <c r="A28" s="91"/>
      <c r="B28" s="91"/>
      <c r="C28" s="91"/>
      <c r="D28" s="17" t="s">
        <v>29</v>
      </c>
      <c r="E28" s="17" t="s">
        <v>25</v>
      </c>
      <c r="F28" s="17" t="s">
        <v>25</v>
      </c>
      <c r="G28" s="18" t="s">
        <v>74</v>
      </c>
      <c r="H28" s="18" t="s">
        <v>68</v>
      </c>
      <c r="I28" s="18">
        <f>'MERCADO TUSD'!$U$25</f>
        <v>0</v>
      </c>
      <c r="J28" s="15"/>
      <c r="L28" s="13">
        <f>('TUSD BE'!$L$28+'TUSD BF'!$L$28+'TUSD CVA'!$L$28)*(1 - 0.1)</f>
        <v>0</v>
      </c>
      <c r="M28" s="13">
        <f>('TUSD BE'!$M$28+'TUSD BF'!$M$28+'TUSD CVA'!$M$28)*(1 - 0.1)</f>
        <v>0.71412485810654958</v>
      </c>
      <c r="N28" s="13">
        <f ca="1">('TUSD BE'!$N$28+'TUSD BF'!$N$28+'TUSD CVA'!$N$28)*(1 - 0.1)</f>
        <v>0</v>
      </c>
      <c r="O28" s="13">
        <f>('TUSD BE'!$O$28+'TUSD BF'!$O$28+'TUSD CVA'!$O$28)*(1 - 0.1)</f>
        <v>0</v>
      </c>
      <c r="P28" s="13">
        <v>0</v>
      </c>
      <c r="Q28" s="13">
        <f>('TUSD BE'!$Q$28+'TUSD BF'!$Q$28+'TUSD CVA'!$Q$28)*(1 - 0.1)</f>
        <v>0</v>
      </c>
      <c r="R28" s="13">
        <v>0</v>
      </c>
      <c r="S28" s="13">
        <f>('TUSD BE'!$S$28+'TUSD BF'!$S$28+'TUSD CVA'!$S$28)*(1 - 0.1)</f>
        <v>0</v>
      </c>
      <c r="T28" s="13">
        <f>('TUSD BE'!$U$28+'TUSD BF'!$U$28+'TUSD CVA'!$U$28)*(1 - 0.1)</f>
        <v>0</v>
      </c>
      <c r="U28" s="13">
        <f>('TUSD BE'!$V$28+'TUSD BF'!$V$28+'TUSD CVA'!$V$28)*(1 - 0.1)</f>
        <v>0</v>
      </c>
      <c r="V28" s="13">
        <f>('TUSD BE'!$W$28+'TUSD BF'!$W$28+'TUSD CVA'!$W$28)*(1 - 0.1)</f>
        <v>0</v>
      </c>
      <c r="W28" s="13">
        <f>('TUSD BE'!$X$28+'TUSD BF'!$X$28+'TUSD CVA'!$X$28)*(1 - 0.1)</f>
        <v>0</v>
      </c>
      <c r="X28" s="13">
        <f>('TUSD BE'!$Y$28+'TUSD BF'!$Y$28+'TUSD CVA'!$Y$28)*(1 - 0.1)</f>
        <v>0</v>
      </c>
      <c r="Y28" s="13">
        <f>('TUSD BE'!$Z$28+'TUSD BF'!$Z$28+'TUSD CVA'!$Z$28)*(1 - 0.1)</f>
        <v>0</v>
      </c>
      <c r="Z28" s="13">
        <f>('TUSD BE'!$AA$28+'TUSD BF'!$AA$28+'TUSD CVA'!$AA$28)*(1 - 0.1)</f>
        <v>0</v>
      </c>
      <c r="AA28" s="13">
        <f>('TUSD BE'!$AC$28+'TUSD BF'!$AC$28+'TUSD CVA'!$AC$28)*(1 - 0.1)</f>
        <v>0</v>
      </c>
      <c r="AB28" s="13">
        <f ca="1">('TUSD BE'!$AE$28+'TUSD BF'!$AE$28+'TUSD CVA'!$AE$28)*(1 - 0.1)</f>
        <v>0</v>
      </c>
      <c r="AC28" s="13">
        <f ca="1">('TUSD BE'!$AF$28+'TUSD BF'!$AF$28+'TUSD CVA'!$AF$28)*(1 - 0.1)</f>
        <v>0</v>
      </c>
      <c r="AD28" s="13">
        <f>('TUSD BE'!$AH$28+'TUSD BF'!$AH$28+'TUSD CVA'!$AH$28)*(1 - 0.1)</f>
        <v>0</v>
      </c>
      <c r="AE28" s="13">
        <f>('TUSD BE'!$AI$28+'TUSD BF'!$AI$28+'TUSD CVA'!$AI$28)*(1 - 0.1)</f>
        <v>0</v>
      </c>
      <c r="AF28" s="13">
        <f ca="1">('TUSD BE'!$AJ$28+'TUSD BF'!$AJ$28+'TUSD CVA'!$AJ$28)*(1 - 0.1)</f>
        <v>0</v>
      </c>
      <c r="AG28" s="13">
        <f ca="1">('TUSD BE'!$AK$28+'TUSD BF'!$AK$28+'TUSD CVA'!$AK$28)*(1 - 0.1)</f>
        <v>0</v>
      </c>
      <c r="AI28" s="13">
        <v>0</v>
      </c>
      <c r="AJ28" s="13">
        <v>0.89687110790798996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88.768342320082894</v>
      </c>
      <c r="AV28" s="13">
        <v>0</v>
      </c>
      <c r="AW28" s="13">
        <v>0</v>
      </c>
      <c r="AX28" s="13">
        <v>87.005463530755094</v>
      </c>
      <c r="AY28" s="13">
        <v>0</v>
      </c>
      <c r="AZ28" s="13">
        <v>0</v>
      </c>
      <c r="BA28" s="13">
        <v>23.290716022531999</v>
      </c>
      <c r="BB28" s="13">
        <v>0</v>
      </c>
      <c r="BC28" s="13">
        <v>0</v>
      </c>
      <c r="BD28" s="13">
        <v>0</v>
      </c>
    </row>
    <row r="29" spans="1:56" ht="11.25" customHeight="1" x14ac:dyDescent="0.3">
      <c r="A29" s="91"/>
      <c r="B29" s="91"/>
      <c r="C29" s="91"/>
      <c r="D29" s="17" t="s">
        <v>30</v>
      </c>
      <c r="E29" s="17" t="s">
        <v>25</v>
      </c>
      <c r="F29" s="17" t="s">
        <v>25</v>
      </c>
      <c r="G29" s="18" t="s">
        <v>74</v>
      </c>
      <c r="H29" s="18" t="s">
        <v>68</v>
      </c>
      <c r="I29" s="18">
        <f>'MERCADO TUSD'!$U$26</f>
        <v>0</v>
      </c>
      <c r="J29" s="15"/>
      <c r="L29" s="13">
        <f>('TUSD BE'!$L$29+'TUSD BF'!$L$29+'TUSD CVA'!$L$29)*1</f>
        <v>0</v>
      </c>
      <c r="M29" s="13">
        <f>('TUSD BE'!$M$29+'TUSD BF'!$M$29+'TUSD CVA'!$M$29)*1</f>
        <v>0.79347206456283281</v>
      </c>
      <c r="N29" s="13">
        <f ca="1">('TUSD BE'!$N$29+'TUSD BF'!$N$29+'TUSD CVA'!$N$29)*1</f>
        <v>0</v>
      </c>
      <c r="O29" s="13">
        <f>('TUSD BE'!$O$29+'TUSD BF'!$O$29+'TUSD CVA'!$O$29)*1</f>
        <v>0</v>
      </c>
      <c r="P29" s="13">
        <v>0</v>
      </c>
      <c r="Q29" s="13">
        <f>('TUSD BE'!$Q$29+'TUSD BF'!$Q$29+'TUSD CVA'!$Q$29)*1</f>
        <v>0</v>
      </c>
      <c r="R29" s="13">
        <v>0</v>
      </c>
      <c r="S29" s="13">
        <f>('TUSD BE'!$S$29+'TUSD BF'!$S$29+'TUSD CVA'!$S$29)*1</f>
        <v>0</v>
      </c>
      <c r="T29" s="13">
        <f>('TUSD BE'!$U$29+'TUSD BF'!$U$29+'TUSD CVA'!$U$29)*1</f>
        <v>0</v>
      </c>
      <c r="U29" s="13">
        <f>('TUSD BE'!$V$29+'TUSD BF'!$V$29+'TUSD CVA'!$V$29)*1</f>
        <v>0</v>
      </c>
      <c r="V29" s="13">
        <f>('TUSD BE'!$W$29+'TUSD BF'!$W$29+'TUSD CVA'!$W$29)*1</f>
        <v>0</v>
      </c>
      <c r="W29" s="13">
        <f>('TUSD BE'!$X$29+'TUSD BF'!$X$29+'TUSD CVA'!$X$29)*1</f>
        <v>0</v>
      </c>
      <c r="X29" s="13">
        <f>('TUSD BE'!$Y$29+'TUSD BF'!$Y$29+'TUSD CVA'!$Y$29)*1</f>
        <v>0</v>
      </c>
      <c r="Y29" s="13">
        <f>('TUSD BE'!$Z$29+'TUSD BF'!$Z$29+'TUSD CVA'!$Z$29)*1</f>
        <v>0</v>
      </c>
      <c r="Z29" s="13">
        <f>('TUSD BE'!$AA$29+'TUSD BF'!$AA$29+'TUSD CVA'!$AA$29)*1</f>
        <v>0</v>
      </c>
      <c r="AA29" s="13">
        <f>('TUSD BE'!$AC$29+'TUSD BF'!$AC$29+'TUSD CVA'!$AC$29)*1</f>
        <v>0</v>
      </c>
      <c r="AB29" s="13">
        <f ca="1">('TUSD BE'!$AE$29+'TUSD BF'!$AE$29+'TUSD CVA'!$AE$29)*1</f>
        <v>0</v>
      </c>
      <c r="AC29" s="13">
        <f ca="1">('TUSD BE'!$AF$29+'TUSD BF'!$AF$29+'TUSD CVA'!$AF$29)*1</f>
        <v>0</v>
      </c>
      <c r="AD29" s="13">
        <f>('TUSD BE'!$AH$29+'TUSD BF'!$AH$29+'TUSD CVA'!$AH$29)*1</f>
        <v>0</v>
      </c>
      <c r="AE29" s="13">
        <f>('TUSD BE'!$AI$29+'TUSD BF'!$AI$29+'TUSD CVA'!$AI$29)*1</f>
        <v>0</v>
      </c>
      <c r="AF29" s="13">
        <f ca="1">('TUSD BE'!$AJ$29+'TUSD BF'!$AJ$29+'TUSD CVA'!$AJ$29)*1</f>
        <v>0</v>
      </c>
      <c r="AG29" s="13">
        <f ca="1">('TUSD BE'!$AK$29+'TUSD BF'!$AK$29+'TUSD CVA'!$AK$29)*1</f>
        <v>0</v>
      </c>
      <c r="AI29" s="13">
        <v>0</v>
      </c>
      <c r="AJ29" s="13">
        <v>0.99652345323110003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98.631491466758703</v>
      </c>
      <c r="AV29" s="13">
        <v>0</v>
      </c>
      <c r="AW29" s="13">
        <v>0</v>
      </c>
      <c r="AX29" s="13">
        <v>96.672737256394498</v>
      </c>
      <c r="AY29" s="13">
        <v>0</v>
      </c>
      <c r="AZ29" s="13">
        <v>0</v>
      </c>
      <c r="BA29" s="13">
        <v>25.8785733583689</v>
      </c>
      <c r="BB29" s="13">
        <v>0</v>
      </c>
      <c r="BC29" s="13">
        <v>0</v>
      </c>
      <c r="BD29" s="13">
        <v>0</v>
      </c>
    </row>
    <row r="30" spans="1:56" ht="11.25" customHeight="1" x14ac:dyDescent="0.3">
      <c r="A30" s="91" t="s">
        <v>39</v>
      </c>
      <c r="B30" s="91" t="s">
        <v>82</v>
      </c>
      <c r="C30" s="91" t="s">
        <v>40</v>
      </c>
      <c r="D30" s="91" t="s">
        <v>25</v>
      </c>
      <c r="E30" s="91" t="s">
        <v>25</v>
      </c>
      <c r="F30" s="91" t="s">
        <v>25</v>
      </c>
      <c r="G30" s="18" t="s">
        <v>69</v>
      </c>
      <c r="H30" s="18" t="s">
        <v>68</v>
      </c>
      <c r="I30" s="18">
        <f>'MERCADO TUSD'!$U$27</f>
        <v>0</v>
      </c>
      <c r="J30" s="15"/>
      <c r="L30" s="13">
        <f>('TUSD BE'!$L$30+'TUSD BF'!$L$30+'TUSD CVA'!$L$30)*(1 - CUSTOS!$M$38)</f>
        <v>0</v>
      </c>
      <c r="M30" s="13">
        <f>('TUSD BE'!$M$30+'TUSD BF'!$M$30+'TUSD CVA'!$M$30)*(1 - CUSTOS!$M$38)</f>
        <v>0.7458637406890628</v>
      </c>
      <c r="N30" s="13">
        <f ca="1">('TUSD BE'!$N$30+'TUSD BF'!$N$30+'TUSD CVA'!$N$30)*(1 - CUSTOS!$M$38)</f>
        <v>0</v>
      </c>
      <c r="O30" s="13">
        <f>('TUSD BE'!$O$30+'TUSD BF'!$O$30+'TUSD CVA'!$O$30)*(1 - CUSTOS!$M$38)</f>
        <v>0</v>
      </c>
      <c r="P30" s="13">
        <f>('TUSD BE'!$P$30+'TUSD BF'!$P$30+'TUSD CVA'!$P$30)*(1 - CUSTOS!$M$38)</f>
        <v>0</v>
      </c>
      <c r="Q30" s="13">
        <f>('TUSD BE'!$Q$30+'TUSD BF'!$Q$30+'TUSD CVA'!$Q$30)*(1 - CUSTOS!$M$38)</f>
        <v>79.002423630170284</v>
      </c>
      <c r="R30" s="13">
        <f>('TUSD BE'!$R$30+'TUSD BF'!$R$30+'TUSD CVA'!$R$30)*(1 - CUSTOS!$M$38)</f>
        <v>12.455145781304321</v>
      </c>
      <c r="S30" s="13">
        <f>('TUSD BE'!$S$30+'TUSD BF'!$S$30+'TUSD CVA'!$S$30)*(1 - CUSTOS!$M$38)</f>
        <v>0</v>
      </c>
      <c r="T30" s="13">
        <f>('TUSD BE'!$U$30+'TUSD BF'!$U$30+'TUSD CVA'!$U$30)*(1 - CUSTOS!$M$38)</f>
        <v>0</v>
      </c>
      <c r="U30" s="13">
        <f>('TUSD BE'!$V$30+'TUSD BF'!$V$30+'TUSD CVA'!$V$30)*(1 - CUSTOS!$M$38)</f>
        <v>0</v>
      </c>
      <c r="V30" s="13">
        <f>('TUSD BE'!$W$30+'TUSD BF'!$W$30+'TUSD CVA'!$W$30)*(1 - CUSTOS!$M$38)</f>
        <v>0</v>
      </c>
      <c r="W30" s="13">
        <f>('TUSD BE'!$X$30+'TUSD BF'!$X$30+'TUSD CVA'!$X$30)*(1 - CUSTOS!$M$38)</f>
        <v>0</v>
      </c>
      <c r="X30" s="13">
        <f>('TUSD BE'!$Y$30+'TUSD BF'!$Y$30+'TUSD CVA'!$Y$30)*(1 - CUSTOS!$M$38)</f>
        <v>281.01774983789443</v>
      </c>
      <c r="Y30" s="13">
        <f>('TUSD BE'!$Z$30+'TUSD BF'!$Z$30+'TUSD CVA'!$Z$30)*(1 - CUSTOS!$M$38)</f>
        <v>0</v>
      </c>
      <c r="Z30" s="13">
        <f>('TUSD BE'!$AA$30+'TUSD BF'!$AA$30+'TUSD CVA'!$AA$30)*(1 - CUSTOS!$M$38)</f>
        <v>0</v>
      </c>
      <c r="AA30" s="13">
        <f>('TUSD BE'!$AC$30+'TUSD BF'!$AC$30+'TUSD CVA'!$AC$30)*(1 - CUSTOS!$M$38)</f>
        <v>260.13737957867698</v>
      </c>
      <c r="AB30" s="13">
        <f ca="1">('TUSD BE'!$AE$30+'TUSD BF'!$AE$30+'TUSD CVA'!$AE$30)*(1 - CUSTOS!$M$38)</f>
        <v>0</v>
      </c>
      <c r="AC30" s="13">
        <f ca="1">('TUSD BE'!$AF$30+'TUSD BF'!$AF$30+'TUSD CVA'!$AF$30)*(1 - CUSTOS!$M$38)</f>
        <v>0</v>
      </c>
      <c r="AD30" s="13">
        <f>('TUSD BE'!$AH$30+'TUSD BF'!$AH$30+'TUSD CVA'!$AH$30)*(1 - CUSTOS!$M$38)</f>
        <v>17.044001164071101</v>
      </c>
      <c r="AE30" s="13">
        <f>('TUSD BE'!$AI$30+'TUSD BF'!$AI$30+'TUSD CVA'!$AI$30)*(1 - CUSTOS!$M$38)</f>
        <v>0</v>
      </c>
      <c r="AF30" s="13">
        <f ca="1">('TUSD BE'!$AJ$30+'TUSD BF'!$AJ$30+'TUSD CVA'!$AJ$30)*(1 - CUSTOS!$M$38)</f>
        <v>0</v>
      </c>
      <c r="AG30" s="13">
        <f ca="1">('TUSD BE'!$AK$30+'TUSD BF'!$AK$30+'TUSD CVA'!$AK$30)*(1 - CUSTOS!$M$38)</f>
        <v>0</v>
      </c>
      <c r="AI30" s="13">
        <v>0</v>
      </c>
      <c r="AJ30" s="13">
        <v>0.87694063884336804</v>
      </c>
      <c r="AK30" s="13">
        <v>0</v>
      </c>
      <c r="AL30" s="13">
        <v>0</v>
      </c>
      <c r="AM30" s="13">
        <v>0</v>
      </c>
      <c r="AN30" s="13">
        <v>62.242875162526602</v>
      </c>
      <c r="AO30" s="13">
        <v>9.4473270661662099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256.05793042109298</v>
      </c>
      <c r="AV30" s="13">
        <v>0</v>
      </c>
      <c r="AW30" s="13">
        <v>0</v>
      </c>
      <c r="AX30" s="13">
        <v>250.962417902308</v>
      </c>
      <c r="AY30" s="13">
        <v>0</v>
      </c>
      <c r="AZ30" s="13">
        <v>0</v>
      </c>
      <c r="BA30" s="13">
        <v>22.773144555364599</v>
      </c>
      <c r="BB30" s="13">
        <v>0</v>
      </c>
      <c r="BC30" s="13">
        <v>0</v>
      </c>
      <c r="BD30" s="13">
        <v>0</v>
      </c>
    </row>
    <row r="31" spans="1:56" ht="11.25" customHeight="1" x14ac:dyDescent="0.3">
      <c r="A31" s="91"/>
      <c r="B31" s="91"/>
      <c r="C31" s="91"/>
      <c r="D31" s="91"/>
      <c r="E31" s="91"/>
      <c r="F31" s="91"/>
      <c r="G31" s="18" t="s">
        <v>80</v>
      </c>
      <c r="H31" s="18" t="s">
        <v>68</v>
      </c>
      <c r="I31" s="18">
        <f>'MERCADO TUSD'!$U$28</f>
        <v>0</v>
      </c>
      <c r="J31" s="15"/>
      <c r="L31" s="13">
        <f>('TUSD BE'!$L$31+'TUSD BF'!$L$31+'TUSD CVA'!$L$31)*(1 - CUSTOS!$M$38)</f>
        <v>0</v>
      </c>
      <c r="M31" s="13">
        <f>('TUSD BE'!$M$31+'TUSD BF'!$M$31+'TUSD CVA'!$M$31)*(1 - CUSTOS!$M$38)</f>
        <v>0.7458637406890628</v>
      </c>
      <c r="N31" s="13">
        <f ca="1">('TUSD BE'!$N$31+'TUSD BF'!$N$31+'TUSD CVA'!$N$31)*(1 - CUSTOS!$M$38)</f>
        <v>0</v>
      </c>
      <c r="O31" s="13">
        <f>('TUSD BE'!$O$31+'TUSD BF'!$O$31+'TUSD CVA'!$O$31)*(1 - CUSTOS!$M$38)</f>
        <v>0</v>
      </c>
      <c r="P31" s="13">
        <f>('TUSD BE'!$P$31+'TUSD BF'!$P$31+'TUSD CVA'!$P$31)*(1 - CUSTOS!$M$38)</f>
        <v>0</v>
      </c>
      <c r="Q31" s="13">
        <f>('TUSD BE'!$Q$31+'TUSD BF'!$Q$31+'TUSD CVA'!$Q$31)*(1 - CUSTOS!$M$38)</f>
        <v>79.002423630170284</v>
      </c>
      <c r="R31" s="13">
        <f>('TUSD BE'!$R$31+'TUSD BF'!$R$31+'TUSD CVA'!$R$31)*(1 - CUSTOS!$M$38)</f>
        <v>12.455145781304321</v>
      </c>
      <c r="S31" s="13">
        <f>('TUSD BE'!$S$31+'TUSD BF'!$S$31+'TUSD CVA'!$S$31)*(1 - CUSTOS!$M$38)</f>
        <v>0</v>
      </c>
      <c r="T31" s="13">
        <f>('TUSD BE'!$U$31+'TUSD BF'!$U$31+'TUSD CVA'!$U$31)*(1 - CUSTOS!$M$38)</f>
        <v>0</v>
      </c>
      <c r="U31" s="13">
        <f>('TUSD BE'!$V$31+'TUSD BF'!$V$31+'TUSD CVA'!$V$31)*(1 - CUSTOS!$M$38)</f>
        <v>0</v>
      </c>
      <c r="V31" s="13">
        <f>('TUSD BE'!$W$31+'TUSD BF'!$W$31+'TUSD CVA'!$W$31)*(1 - CUSTOS!$M$38)</f>
        <v>0</v>
      </c>
      <c r="W31" s="13">
        <f>('TUSD BE'!$X$31+'TUSD BF'!$X$31+'TUSD CVA'!$X$31)*(1 - CUSTOS!$M$38)</f>
        <v>0</v>
      </c>
      <c r="X31" s="13">
        <f>('TUSD BE'!$Y$31+'TUSD BF'!$Y$31+'TUSD CVA'!$Y$31)*(1 - CUSTOS!$M$38)</f>
        <v>168.59184732496598</v>
      </c>
      <c r="Y31" s="13">
        <f>('TUSD BE'!$Z$31+'TUSD BF'!$Z$31+'TUSD CVA'!$Z$31)*(1 - CUSTOS!$M$38)</f>
        <v>0</v>
      </c>
      <c r="Z31" s="13">
        <f>('TUSD BE'!$AA$31+'TUSD BF'!$AA$31+'TUSD CVA'!$AA$31)*(1 - CUSTOS!$M$38)</f>
        <v>0</v>
      </c>
      <c r="AA31" s="13">
        <f>('TUSD BE'!$AC$31+'TUSD BF'!$AC$31+'TUSD CVA'!$AC$31)*(1 - CUSTOS!$M$38)</f>
        <v>156.08237487619081</v>
      </c>
      <c r="AB31" s="13">
        <f ca="1">('TUSD BE'!$AE$31+'TUSD BF'!$AE$31+'TUSD CVA'!$AE$31)*(1 - CUSTOS!$M$38)</f>
        <v>0</v>
      </c>
      <c r="AC31" s="13">
        <f ca="1">('TUSD BE'!$AF$31+'TUSD BF'!$AF$31+'TUSD CVA'!$AF$31)*(1 - CUSTOS!$M$38)</f>
        <v>0</v>
      </c>
      <c r="AD31" s="13">
        <f>('TUSD BE'!$AH$31+'TUSD BF'!$AH$31+'TUSD CVA'!$AH$31)*(1 - CUSTOS!$M$38)</f>
        <v>17.044001164071101</v>
      </c>
      <c r="AE31" s="13">
        <f>('TUSD BE'!$AI$31+'TUSD BF'!$AI$31+'TUSD CVA'!$AI$31)*(1 - CUSTOS!$M$38)</f>
        <v>0</v>
      </c>
      <c r="AF31" s="13">
        <f ca="1">('TUSD BE'!$AJ$31+'TUSD BF'!$AJ$31+'TUSD CVA'!$AJ$31)*(1 - CUSTOS!$M$38)</f>
        <v>0</v>
      </c>
      <c r="AG31" s="13">
        <f ca="1">('TUSD BE'!$AK$31+'TUSD BF'!$AK$31+'TUSD CVA'!$AK$31)*(1 - CUSTOS!$M$38)</f>
        <v>0</v>
      </c>
      <c r="AI31" s="13">
        <v>0</v>
      </c>
      <c r="AJ31" s="13">
        <v>0.87694063884336804</v>
      </c>
      <c r="AK31" s="13">
        <v>0</v>
      </c>
      <c r="AL31" s="13">
        <v>0</v>
      </c>
      <c r="AM31" s="13">
        <v>0</v>
      </c>
      <c r="AN31" s="13">
        <v>62.242875162526602</v>
      </c>
      <c r="AO31" s="13">
        <v>9.4473270661662099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153.617609548997</v>
      </c>
      <c r="AV31" s="13">
        <v>0</v>
      </c>
      <c r="AW31" s="13">
        <v>0</v>
      </c>
      <c r="AX31" s="13">
        <v>150.57740799316201</v>
      </c>
      <c r="AY31" s="13">
        <v>0</v>
      </c>
      <c r="AZ31" s="13">
        <v>0</v>
      </c>
      <c r="BA31" s="13">
        <v>22.773144555364599</v>
      </c>
      <c r="BB31" s="13">
        <v>0</v>
      </c>
      <c r="BC31" s="13">
        <v>0</v>
      </c>
      <c r="BD31" s="13">
        <v>0</v>
      </c>
    </row>
    <row r="32" spans="1:56" ht="11.25" customHeight="1" x14ac:dyDescent="0.3">
      <c r="A32" s="91"/>
      <c r="B32" s="91"/>
      <c r="C32" s="91"/>
      <c r="D32" s="91"/>
      <c r="E32" s="91"/>
      <c r="F32" s="91"/>
      <c r="G32" s="18" t="s">
        <v>70</v>
      </c>
      <c r="H32" s="18" t="s">
        <v>68</v>
      </c>
      <c r="I32" s="18">
        <f>'MERCADO TUSD'!$U$29</f>
        <v>0</v>
      </c>
      <c r="J32" s="15"/>
      <c r="L32" s="13">
        <f>('TUSD BE'!$L$32+'TUSD BF'!$L$32+'TUSD CVA'!$L$32)*(1 - CUSTOS!$M$38)</f>
        <v>0</v>
      </c>
      <c r="M32" s="13">
        <f>('TUSD BE'!$M$32+'TUSD BF'!$M$32+'TUSD CVA'!$M$32)*(1 - CUSTOS!$M$38)</f>
        <v>0.7458637406890628</v>
      </c>
      <c r="N32" s="13">
        <f ca="1">('TUSD BE'!$N$32+'TUSD BF'!$N$32+'TUSD CVA'!$N$32)*(1 - CUSTOS!$M$38)</f>
        <v>0</v>
      </c>
      <c r="O32" s="13">
        <f>('TUSD BE'!$O$32+'TUSD BF'!$O$32+'TUSD CVA'!$O$32)*(1 - CUSTOS!$M$38)</f>
        <v>0</v>
      </c>
      <c r="P32" s="13">
        <f>('TUSD BE'!$P$32+'TUSD BF'!$P$32+'TUSD CVA'!$P$32)*(1 - CUSTOS!$M$38)</f>
        <v>0</v>
      </c>
      <c r="Q32" s="13">
        <f>('TUSD BE'!$Q$32+'TUSD BF'!$Q$32+'TUSD CVA'!$Q$32)*(1 - CUSTOS!$M$38)</f>
        <v>79.002423630170284</v>
      </c>
      <c r="R32" s="13">
        <f>('TUSD BE'!$R$32+'TUSD BF'!$R$32+'TUSD CVA'!$R$32)*(1 - CUSTOS!$M$38)</f>
        <v>12.455145781304321</v>
      </c>
      <c r="S32" s="13">
        <f>('TUSD BE'!$S$32+'TUSD BF'!$S$32+'TUSD CVA'!$S$32)*(1 - CUSTOS!$M$38)</f>
        <v>0</v>
      </c>
      <c r="T32" s="13">
        <f>('TUSD BE'!$U$32+'TUSD BF'!$U$32+'TUSD CVA'!$U$32)*(1 - CUSTOS!$M$38)</f>
        <v>0</v>
      </c>
      <c r="U32" s="13">
        <f>('TUSD BE'!$V$32+'TUSD BF'!$V$32+'TUSD CVA'!$V$32)*(1 - CUSTOS!$M$38)</f>
        <v>0</v>
      </c>
      <c r="V32" s="13">
        <f>('TUSD BE'!$W$32+'TUSD BF'!$W$32+'TUSD CVA'!$W$32)*(1 - CUSTOS!$M$38)</f>
        <v>0</v>
      </c>
      <c r="W32" s="13">
        <f>('TUSD BE'!$X$32+'TUSD BF'!$X$32+'TUSD CVA'!$X$32)*(1 - CUSTOS!$M$38)</f>
        <v>0</v>
      </c>
      <c r="X32" s="13">
        <f>('TUSD BE'!$Y$32+'TUSD BF'!$Y$32+'TUSD CVA'!$Y$32)*(1 - CUSTOS!$M$38)</f>
        <v>56.165944812037495</v>
      </c>
      <c r="Y32" s="13">
        <f>('TUSD BE'!$Z$32+'TUSD BF'!$Z$32+'TUSD CVA'!$Z$32)*(1 - CUSTOS!$M$38)</f>
        <v>0</v>
      </c>
      <c r="Z32" s="13">
        <f>('TUSD BE'!$AA$32+'TUSD BF'!$AA$32+'TUSD CVA'!$AA$32)*(1 - CUSTOS!$M$38)</f>
        <v>0</v>
      </c>
      <c r="AA32" s="13">
        <f>('TUSD BE'!$AC$32+'TUSD BF'!$AC$32+'TUSD CVA'!$AC$32)*(1 - CUSTOS!$M$38)</f>
        <v>52.027458292063621</v>
      </c>
      <c r="AB32" s="13">
        <f ca="1">('TUSD BE'!$AE$32+'TUSD BF'!$AE$32+'TUSD CVA'!$AE$32)*(1 - CUSTOS!$M$38)</f>
        <v>0</v>
      </c>
      <c r="AC32" s="13">
        <f ca="1">('TUSD BE'!$AF$32+'TUSD BF'!$AF$32+'TUSD CVA'!$AF$32)*(1 - CUSTOS!$M$38)</f>
        <v>0</v>
      </c>
      <c r="AD32" s="13">
        <f>('TUSD BE'!$AH$32+'TUSD BF'!$AH$32+'TUSD CVA'!$AH$32)*(1 - CUSTOS!$M$38)</f>
        <v>17.044001164071101</v>
      </c>
      <c r="AE32" s="13">
        <f>('TUSD BE'!$AI$32+'TUSD BF'!$AI$32+'TUSD CVA'!$AI$32)*(1 - CUSTOS!$M$38)</f>
        <v>0</v>
      </c>
      <c r="AF32" s="13">
        <f ca="1">('TUSD BE'!$AJ$32+'TUSD BF'!$AJ$32+'TUSD CVA'!$AJ$32)*(1 - CUSTOS!$M$38)</f>
        <v>0</v>
      </c>
      <c r="AG32" s="13">
        <f ca="1">('TUSD BE'!$AK$32+'TUSD BF'!$AK$32+'TUSD CVA'!$AK$32)*(1 - CUSTOS!$M$38)</f>
        <v>0</v>
      </c>
      <c r="AI32" s="13">
        <v>0</v>
      </c>
      <c r="AJ32" s="13">
        <v>0.87694063884336804</v>
      </c>
      <c r="AK32" s="13">
        <v>0</v>
      </c>
      <c r="AL32" s="13">
        <v>0</v>
      </c>
      <c r="AM32" s="13">
        <v>0</v>
      </c>
      <c r="AN32" s="13">
        <v>62.242875162526602</v>
      </c>
      <c r="AO32" s="13">
        <v>9.4473270661662099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51.177288676900702</v>
      </c>
      <c r="AV32" s="13">
        <v>0</v>
      </c>
      <c r="AW32" s="13">
        <v>0</v>
      </c>
      <c r="AX32" s="13">
        <v>50.1924515192947</v>
      </c>
      <c r="AY32" s="13">
        <v>0</v>
      </c>
      <c r="AZ32" s="13">
        <v>0</v>
      </c>
      <c r="BA32" s="13">
        <v>22.773144555364599</v>
      </c>
      <c r="BB32" s="13">
        <v>0</v>
      </c>
      <c r="BC32" s="13">
        <v>0</v>
      </c>
      <c r="BD32" s="13">
        <v>0</v>
      </c>
    </row>
    <row r="33" spans="1:56" ht="11.25" customHeight="1" x14ac:dyDescent="0.3">
      <c r="A33" s="91"/>
      <c r="B33" s="17" t="s">
        <v>23</v>
      </c>
      <c r="C33" s="17" t="s">
        <v>40</v>
      </c>
      <c r="D33" s="17" t="s">
        <v>25</v>
      </c>
      <c r="E33" s="17" t="s">
        <v>25</v>
      </c>
      <c r="F33" s="17" t="s">
        <v>25</v>
      </c>
      <c r="G33" s="18" t="s">
        <v>74</v>
      </c>
      <c r="H33" s="18" t="s">
        <v>68</v>
      </c>
      <c r="I33" s="18">
        <f>'MERCADO TUSD'!$U$30</f>
        <v>5733.0710000000008</v>
      </c>
      <c r="J33" s="15"/>
      <c r="L33" s="13">
        <f>('TUSD BE'!$L$33+'TUSD BF'!$L$33+'TUSD CVA'!$L$33)*(1 - CUSTOS!$M$38)</f>
        <v>0</v>
      </c>
      <c r="M33" s="13">
        <f>('TUSD BE'!$M$33+'TUSD BF'!$M$33+'TUSD CVA'!$M$33)*(1 - CUSTOS!$M$38)</f>
        <v>0.7458637406890628</v>
      </c>
      <c r="N33" s="13">
        <f ca="1">('TUSD BE'!$N$33+'TUSD BF'!$N$33+'TUSD CVA'!$N$33)*(1 - CUSTOS!$M$38)</f>
        <v>0</v>
      </c>
      <c r="O33" s="13">
        <f>('TUSD BE'!$O$33+'TUSD BF'!$O$33+'TUSD CVA'!$O$33)*(1 - CUSTOS!$M$38)</f>
        <v>0</v>
      </c>
      <c r="P33" s="13">
        <f>('TUSD BE'!$P$33+'TUSD BF'!$P$33+'TUSD CVA'!$P$33)*(1 - CUSTOS!$M$38)</f>
        <v>0</v>
      </c>
      <c r="Q33" s="13">
        <f>('TUSD BE'!$Q$33+'TUSD BF'!$Q$33+'TUSD CVA'!$Q$33)*(1 - CUSTOS!$M$38)</f>
        <v>79.002423630170284</v>
      </c>
      <c r="R33" s="13">
        <f>('TUSD BE'!$R$33+'TUSD BF'!$R$33+'TUSD CVA'!$R$33)*(1 - CUSTOS!$M$38)</f>
        <v>12.455145781304321</v>
      </c>
      <c r="S33" s="13">
        <f>('TUSD BE'!$S$33+'TUSD BF'!$S$33+'TUSD CVA'!$S$33)*(1 - CUSTOS!$M$38)</f>
        <v>0</v>
      </c>
      <c r="T33" s="13">
        <f>('TUSD BE'!$U$33+'TUSD BF'!$U$33+'TUSD CVA'!$U$33)*(1 - CUSTOS!$M$38)</f>
        <v>0</v>
      </c>
      <c r="U33" s="13">
        <f>('TUSD BE'!$V$33+'TUSD BF'!$V$33+'TUSD CVA'!$V$33)*(1 - CUSTOS!$M$38)</f>
        <v>0</v>
      </c>
      <c r="V33" s="13">
        <f>('TUSD BE'!$W$33+'TUSD BF'!$W$33+'TUSD CVA'!$W$33)*(1 - CUSTOS!$M$38)</f>
        <v>0</v>
      </c>
      <c r="W33" s="13">
        <f>('TUSD BE'!$X$33+'TUSD BF'!$X$33+'TUSD CVA'!$X$33)*(1 - CUSTOS!$M$38)</f>
        <v>0</v>
      </c>
      <c r="X33" s="13">
        <f>('TUSD BE'!$Y$33+'TUSD BF'!$Y$33+'TUSD CVA'!$Y$33)*(1 - CUSTOS!$M$38)</f>
        <v>95.256331496620689</v>
      </c>
      <c r="Y33" s="13">
        <f>('TUSD BE'!$Z$33+'TUSD BF'!$Z$33+'TUSD CVA'!$Z$33)*(1 - CUSTOS!$M$38)</f>
        <v>0</v>
      </c>
      <c r="Z33" s="13">
        <f>('TUSD BE'!$AA$33+'TUSD BF'!$AA$33+'TUSD CVA'!$AA$33)*(1 - CUSTOS!$M$38)</f>
        <v>0</v>
      </c>
      <c r="AA33" s="13">
        <f>('TUSD BE'!$AC$33+'TUSD BF'!$AC$33+'TUSD CVA'!$AC$33)*(1 - CUSTOS!$M$38)</f>
        <v>88.182156594917018</v>
      </c>
      <c r="AB33" s="13">
        <f ca="1">('TUSD BE'!$AE$33+'TUSD BF'!$AE$33+'TUSD CVA'!$AE$33)*(1 - CUSTOS!$M$38)</f>
        <v>0</v>
      </c>
      <c r="AC33" s="13">
        <f ca="1">('TUSD BE'!$AF$33+'TUSD BF'!$AF$33+'TUSD CVA'!$AF$33)*(1 - CUSTOS!$M$38)</f>
        <v>0</v>
      </c>
      <c r="AD33" s="13">
        <f>('TUSD BE'!$AH$33+'TUSD BF'!$AH$33+'TUSD CVA'!$AH$33)*(1 - CUSTOS!$M$38)</f>
        <v>17.044001164071101</v>
      </c>
      <c r="AE33" s="13">
        <f>('TUSD BE'!$AI$33+'TUSD BF'!$AI$33+'TUSD CVA'!$AI$33)*(1 - CUSTOS!$M$38)</f>
        <v>0</v>
      </c>
      <c r="AF33" s="13">
        <f ca="1">('TUSD BE'!$AJ$33+'TUSD BF'!$AJ$33+'TUSD CVA'!$AJ$33)*(1 - CUSTOS!$M$38)</f>
        <v>0</v>
      </c>
      <c r="AG33" s="13">
        <f ca="1">('TUSD BE'!$AK$33+'TUSD BF'!$AK$33+'TUSD CVA'!$AK$33)*(1 - CUSTOS!$M$38)</f>
        <v>0</v>
      </c>
      <c r="AI33" s="13">
        <v>0</v>
      </c>
      <c r="AJ33" s="13">
        <v>0.87694063884336804</v>
      </c>
      <c r="AK33" s="13">
        <v>0</v>
      </c>
      <c r="AL33" s="13">
        <v>0</v>
      </c>
      <c r="AM33" s="13">
        <v>0</v>
      </c>
      <c r="AN33" s="13">
        <v>62.242875162526602</v>
      </c>
      <c r="AO33" s="13">
        <v>9.4473270661662099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86.795712490747704</v>
      </c>
      <c r="AV33" s="13">
        <v>0</v>
      </c>
      <c r="AW33" s="13">
        <v>0</v>
      </c>
      <c r="AX33" s="13">
        <v>85.072008785627204</v>
      </c>
      <c r="AY33" s="13">
        <v>0</v>
      </c>
      <c r="AZ33" s="13">
        <v>0</v>
      </c>
      <c r="BA33" s="13">
        <v>22.773144555364599</v>
      </c>
      <c r="BB33" s="13">
        <v>0</v>
      </c>
      <c r="BC33" s="13">
        <v>0</v>
      </c>
      <c r="BD33" s="13">
        <v>0</v>
      </c>
    </row>
    <row r="34" spans="1:56" ht="11.25" customHeight="1" x14ac:dyDescent="0.3">
      <c r="A34" s="91"/>
      <c r="B34" s="91" t="s">
        <v>82</v>
      </c>
      <c r="C34" s="91" t="s">
        <v>40</v>
      </c>
      <c r="D34" s="91" t="s">
        <v>85</v>
      </c>
      <c r="E34" s="91" t="s">
        <v>25</v>
      </c>
      <c r="F34" s="91" t="s">
        <v>25</v>
      </c>
      <c r="G34" s="18" t="s">
        <v>69</v>
      </c>
      <c r="H34" s="18" t="s">
        <v>68</v>
      </c>
      <c r="I34" s="18">
        <f>'MERCADO TUSD'!$U$31</f>
        <v>0</v>
      </c>
      <c r="J34" s="15"/>
      <c r="L34" s="13">
        <f>('TUSD BE'!$L$34+'TUSD BF'!$L$34+'TUSD CVA'!$L$34)*(1 - CUSTOS!$M$39)</f>
        <v>0</v>
      </c>
      <c r="M34" s="13">
        <f>('TUSD BE'!$M$34+'TUSD BF'!$M$34+'TUSD CVA'!$M$34)*(1 - CUSTOS!$M$39)</f>
        <v>0.7458637406890628</v>
      </c>
      <c r="N34" s="13">
        <f ca="1">('TUSD BE'!$N$34+'TUSD BF'!$N$34+'TUSD CVA'!$N$34)*(1 - CUSTOS!$M$39)</f>
        <v>0</v>
      </c>
      <c r="O34" s="13">
        <f>('TUSD BE'!$O$34+'TUSD BF'!$O$34+'TUSD CVA'!$O$34)*(1 - CUSTOS!$M$39)</f>
        <v>0</v>
      </c>
      <c r="P34" s="13">
        <f>('TUSD BE'!$P$34+'TUSD BF'!$P$34+'TUSD CVA'!$P$34)*(1 - CUSTOS!$M$39)</f>
        <v>0</v>
      </c>
      <c r="Q34" s="13">
        <f>('TUSD BE'!$Q$34+'TUSD BF'!$Q$34+'TUSD CVA'!$Q$34)*(1 - CUSTOS!$M$39)</f>
        <v>79.002423630170284</v>
      </c>
      <c r="R34" s="13">
        <f>('TUSD BE'!$R$34+'TUSD BF'!$R$34+'TUSD CVA'!$R$34)*(1 - CUSTOS!$M$39)</f>
        <v>12.455145781304321</v>
      </c>
      <c r="S34" s="13">
        <f>('TUSD BE'!$S$34+'TUSD BF'!$S$34+'TUSD CVA'!$S$34)*(1 - CUSTOS!$M$39)</f>
        <v>0</v>
      </c>
      <c r="T34" s="13">
        <f>('TUSD BE'!$U$34+'TUSD BF'!$U$34+'TUSD CVA'!$U$34)*(1 - CUSTOS!$M$39)</f>
        <v>0</v>
      </c>
      <c r="U34" s="13">
        <f>('TUSD BE'!$V$34+'TUSD BF'!$V$34+'TUSD CVA'!$V$34)*(1 - CUSTOS!$M$39)</f>
        <v>0</v>
      </c>
      <c r="V34" s="13">
        <f>('TUSD BE'!$W$34+'TUSD BF'!$W$34+'TUSD CVA'!$W$34)*(1 - CUSTOS!$M$39)</f>
        <v>0</v>
      </c>
      <c r="W34" s="13">
        <f>('TUSD BE'!$X$34+'TUSD BF'!$X$34+'TUSD CVA'!$X$34)*(1 - CUSTOS!$M$39)</f>
        <v>0</v>
      </c>
      <c r="X34" s="13">
        <f>('TUSD BE'!$Y$34+'TUSD BF'!$Y$34+'TUSD CVA'!$Y$34)*(1 - CUSTOS!$M$39)</f>
        <v>281.01774983789443</v>
      </c>
      <c r="Y34" s="13">
        <f>('TUSD BE'!$Z$34+'TUSD BF'!$Z$34+'TUSD CVA'!$Z$34)*(1 - CUSTOS!$M$39)</f>
        <v>0</v>
      </c>
      <c r="Z34" s="13">
        <f>('TUSD BE'!$AA$34+'TUSD BF'!$AA$34+'TUSD CVA'!$AA$34)*(1 - CUSTOS!$M$39)</f>
        <v>0</v>
      </c>
      <c r="AA34" s="13">
        <f>('TUSD BE'!$AC$34+'TUSD BF'!$AC$34+'TUSD CVA'!$AC$34)*(1 - CUSTOS!$M$39)</f>
        <v>260.13737957867698</v>
      </c>
      <c r="AB34" s="13">
        <f ca="1">('TUSD BE'!$AE$34+'TUSD BF'!$AE$34+'TUSD CVA'!$AE$34)*(1 - CUSTOS!$M$39)</f>
        <v>0</v>
      </c>
      <c r="AC34" s="13">
        <f ca="1">('TUSD BE'!$AF$34+'TUSD BF'!$AF$34+'TUSD CVA'!$AF$34)*(1 - CUSTOS!$M$39)</f>
        <v>0</v>
      </c>
      <c r="AD34" s="13">
        <f>('TUSD BE'!$AH$34+'TUSD BF'!$AH$34+'TUSD CVA'!$AH$34)*(1 - CUSTOS!$M$39)</f>
        <v>17.044001164071101</v>
      </c>
      <c r="AE34" s="13">
        <f>('TUSD BE'!$AI$34+'TUSD BF'!$AI$34+'TUSD CVA'!$AI$34)*(1 - CUSTOS!$M$39)</f>
        <v>0</v>
      </c>
      <c r="AF34" s="13">
        <f ca="1">('TUSD BE'!$AJ$34+'TUSD BF'!$AJ$34+'TUSD CVA'!$AJ$34)*(1 - CUSTOS!$M$39)</f>
        <v>0</v>
      </c>
      <c r="AG34" s="13">
        <f ca="1">('TUSD BE'!$AK$34+'TUSD BF'!$AK$34+'TUSD CVA'!$AK$34)*(1 - CUSTOS!$M$39)</f>
        <v>0</v>
      </c>
      <c r="AI34" s="13">
        <v>0</v>
      </c>
      <c r="AJ34" s="13">
        <v>0.87694063884336804</v>
      </c>
      <c r="AK34" s="13">
        <v>0</v>
      </c>
      <c r="AL34" s="13">
        <v>0</v>
      </c>
      <c r="AM34" s="13">
        <v>0</v>
      </c>
      <c r="AN34" s="13">
        <v>62.242875162526602</v>
      </c>
      <c r="AO34" s="13">
        <v>9.4473270661662099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256.05793042109298</v>
      </c>
      <c r="AV34" s="13">
        <v>0</v>
      </c>
      <c r="AW34" s="13">
        <v>0</v>
      </c>
      <c r="AX34" s="13">
        <v>250.962417902308</v>
      </c>
      <c r="AY34" s="13">
        <v>0</v>
      </c>
      <c r="AZ34" s="13">
        <v>0</v>
      </c>
      <c r="BA34" s="13">
        <v>22.773144555364599</v>
      </c>
      <c r="BB34" s="13">
        <v>0</v>
      </c>
      <c r="BC34" s="13">
        <v>0</v>
      </c>
      <c r="BD34" s="13">
        <v>0</v>
      </c>
    </row>
    <row r="35" spans="1:56" ht="11.25" customHeight="1" x14ac:dyDescent="0.3">
      <c r="A35" s="91"/>
      <c r="B35" s="91"/>
      <c r="C35" s="91"/>
      <c r="D35" s="91"/>
      <c r="E35" s="91"/>
      <c r="F35" s="91"/>
      <c r="G35" s="18" t="s">
        <v>80</v>
      </c>
      <c r="H35" s="18" t="s">
        <v>68</v>
      </c>
      <c r="I35" s="18">
        <f>'MERCADO TUSD'!$U$32</f>
        <v>0</v>
      </c>
      <c r="J35" s="15"/>
      <c r="L35" s="13">
        <f>('TUSD BE'!$L$35+'TUSD BF'!$L$35+'TUSD CVA'!$L$35)*(1 - CUSTOS!$M$39)</f>
        <v>0</v>
      </c>
      <c r="M35" s="13">
        <f>('TUSD BE'!$M$35+'TUSD BF'!$M$35+'TUSD CVA'!$M$35)*(1 - CUSTOS!$M$39)</f>
        <v>0.7458637406890628</v>
      </c>
      <c r="N35" s="13">
        <f ca="1">('TUSD BE'!$N$35+'TUSD BF'!$N$35+'TUSD CVA'!$N$35)*(1 - CUSTOS!$M$39)</f>
        <v>0</v>
      </c>
      <c r="O35" s="13">
        <f>('TUSD BE'!$O$35+'TUSD BF'!$O$35+'TUSD CVA'!$O$35)*(1 - CUSTOS!$M$39)</f>
        <v>0</v>
      </c>
      <c r="P35" s="13">
        <f>('TUSD BE'!$P$35+'TUSD BF'!$P$35+'TUSD CVA'!$P$35)*(1 - CUSTOS!$M$39)</f>
        <v>0</v>
      </c>
      <c r="Q35" s="13">
        <f>('TUSD BE'!$Q$35+'TUSD BF'!$Q$35+'TUSD CVA'!$Q$35)*(1 - CUSTOS!$M$39)</f>
        <v>79.002423630170284</v>
      </c>
      <c r="R35" s="13">
        <f>('TUSD BE'!$R$35+'TUSD BF'!$R$35+'TUSD CVA'!$R$35)*(1 - CUSTOS!$M$39)</f>
        <v>12.455145781304321</v>
      </c>
      <c r="S35" s="13">
        <f>('TUSD BE'!$S$35+'TUSD BF'!$S$35+'TUSD CVA'!$S$35)*(1 - CUSTOS!$M$39)</f>
        <v>0</v>
      </c>
      <c r="T35" s="13">
        <f>('TUSD BE'!$U$35+'TUSD BF'!$U$35+'TUSD CVA'!$U$35)*(1 - CUSTOS!$M$39)</f>
        <v>0</v>
      </c>
      <c r="U35" s="13">
        <f>('TUSD BE'!$V$35+'TUSD BF'!$V$35+'TUSD CVA'!$V$35)*(1 - CUSTOS!$M$39)</f>
        <v>0</v>
      </c>
      <c r="V35" s="13">
        <f>('TUSD BE'!$W$35+'TUSD BF'!$W$35+'TUSD CVA'!$W$35)*(1 - CUSTOS!$M$39)</f>
        <v>0</v>
      </c>
      <c r="W35" s="13">
        <f>('TUSD BE'!$X$35+'TUSD BF'!$X$35+'TUSD CVA'!$X$35)*(1 - CUSTOS!$M$39)</f>
        <v>0</v>
      </c>
      <c r="X35" s="13">
        <f>('TUSD BE'!$Y$35+'TUSD BF'!$Y$35+'TUSD CVA'!$Y$35)*(1 - CUSTOS!$M$39)</f>
        <v>168.59184732496598</v>
      </c>
      <c r="Y35" s="13">
        <f>('TUSD BE'!$Z$35+'TUSD BF'!$Z$35+'TUSD CVA'!$Z$35)*(1 - CUSTOS!$M$39)</f>
        <v>0</v>
      </c>
      <c r="Z35" s="13">
        <f>('TUSD BE'!$AA$35+'TUSD BF'!$AA$35+'TUSD CVA'!$AA$35)*(1 - CUSTOS!$M$39)</f>
        <v>0</v>
      </c>
      <c r="AA35" s="13">
        <f>('TUSD BE'!$AC$35+'TUSD BF'!$AC$35+'TUSD CVA'!$AC$35)*(1 - CUSTOS!$M$39)</f>
        <v>156.08237487619081</v>
      </c>
      <c r="AB35" s="13">
        <f ca="1">('TUSD BE'!$AE$35+'TUSD BF'!$AE$35+'TUSD CVA'!$AE$35)*(1 - CUSTOS!$M$39)</f>
        <v>0</v>
      </c>
      <c r="AC35" s="13">
        <f ca="1">('TUSD BE'!$AF$35+'TUSD BF'!$AF$35+'TUSD CVA'!$AF$35)*(1 - CUSTOS!$M$39)</f>
        <v>0</v>
      </c>
      <c r="AD35" s="13">
        <f>('TUSD BE'!$AH$35+'TUSD BF'!$AH$35+'TUSD CVA'!$AH$35)*(1 - CUSTOS!$M$39)</f>
        <v>17.044001164071101</v>
      </c>
      <c r="AE35" s="13">
        <f>('TUSD BE'!$AI$35+'TUSD BF'!$AI$35+'TUSD CVA'!$AI$35)*(1 - CUSTOS!$M$39)</f>
        <v>0</v>
      </c>
      <c r="AF35" s="13">
        <f ca="1">('TUSD BE'!$AJ$35+'TUSD BF'!$AJ$35+'TUSD CVA'!$AJ$35)*(1 - CUSTOS!$M$39)</f>
        <v>0</v>
      </c>
      <c r="AG35" s="13">
        <f ca="1">('TUSD BE'!$AK$35+'TUSD BF'!$AK$35+'TUSD CVA'!$AK$35)*(1 - CUSTOS!$M$39)</f>
        <v>0</v>
      </c>
      <c r="AI35" s="13">
        <v>0</v>
      </c>
      <c r="AJ35" s="13">
        <v>0.87694063884336804</v>
      </c>
      <c r="AK35" s="13">
        <v>0</v>
      </c>
      <c r="AL35" s="13">
        <v>0</v>
      </c>
      <c r="AM35" s="13">
        <v>0</v>
      </c>
      <c r="AN35" s="13">
        <v>62.242875162526602</v>
      </c>
      <c r="AO35" s="13">
        <v>9.4473270661662099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153.617609548997</v>
      </c>
      <c r="AV35" s="13">
        <v>0</v>
      </c>
      <c r="AW35" s="13">
        <v>0</v>
      </c>
      <c r="AX35" s="13">
        <v>150.57740799316201</v>
      </c>
      <c r="AY35" s="13">
        <v>0</v>
      </c>
      <c r="AZ35" s="13">
        <v>0</v>
      </c>
      <c r="BA35" s="13">
        <v>22.773144555364599</v>
      </c>
      <c r="BB35" s="13">
        <v>0</v>
      </c>
      <c r="BC35" s="13">
        <v>0</v>
      </c>
      <c r="BD35" s="13">
        <v>0</v>
      </c>
    </row>
    <row r="36" spans="1:56" ht="11.25" customHeight="1" x14ac:dyDescent="0.3">
      <c r="A36" s="91"/>
      <c r="B36" s="91"/>
      <c r="C36" s="91"/>
      <c r="D36" s="91"/>
      <c r="E36" s="91"/>
      <c r="F36" s="91"/>
      <c r="G36" s="18" t="s">
        <v>70</v>
      </c>
      <c r="H36" s="18" t="s">
        <v>68</v>
      </c>
      <c r="I36" s="18">
        <f>'MERCADO TUSD'!$U$33</f>
        <v>0</v>
      </c>
      <c r="J36" s="15"/>
      <c r="L36" s="13">
        <f>('TUSD BE'!$L$36+'TUSD BF'!$L$36+'TUSD CVA'!$L$36)*(1 - CUSTOS!$M$39)</f>
        <v>0</v>
      </c>
      <c r="M36" s="13">
        <f>('TUSD BE'!$M$36+'TUSD BF'!$M$36+'TUSD CVA'!$M$36)*(1 - CUSTOS!$M$39)</f>
        <v>0.7458637406890628</v>
      </c>
      <c r="N36" s="13">
        <f ca="1">('TUSD BE'!$N$36+'TUSD BF'!$N$36+'TUSD CVA'!$N$36)*(1 - CUSTOS!$M$39)</f>
        <v>0</v>
      </c>
      <c r="O36" s="13">
        <f>('TUSD BE'!$O$36+'TUSD BF'!$O$36+'TUSD CVA'!$O$36)*(1 - CUSTOS!$M$39)</f>
        <v>0</v>
      </c>
      <c r="P36" s="13">
        <f>('TUSD BE'!$P$36+'TUSD BF'!$P$36+'TUSD CVA'!$P$36)*(1 - CUSTOS!$M$39)</f>
        <v>0</v>
      </c>
      <c r="Q36" s="13">
        <f>('TUSD BE'!$Q$36+'TUSD BF'!$Q$36+'TUSD CVA'!$Q$36)*(1 - CUSTOS!$M$39)</f>
        <v>79.002423630170284</v>
      </c>
      <c r="R36" s="13">
        <f>('TUSD BE'!$R$36+'TUSD BF'!$R$36+'TUSD CVA'!$R$36)*(1 - CUSTOS!$M$39)</f>
        <v>12.455145781304321</v>
      </c>
      <c r="S36" s="13">
        <f>('TUSD BE'!$S$36+'TUSD BF'!$S$36+'TUSD CVA'!$S$36)*(1 - CUSTOS!$M$39)</f>
        <v>0</v>
      </c>
      <c r="T36" s="13">
        <f>('TUSD BE'!$U$36+'TUSD BF'!$U$36+'TUSD CVA'!$U$36)*(1 - CUSTOS!$M$39)</f>
        <v>0</v>
      </c>
      <c r="U36" s="13">
        <f>('TUSD BE'!$V$36+'TUSD BF'!$V$36+'TUSD CVA'!$V$36)*(1 - CUSTOS!$M$39)</f>
        <v>0</v>
      </c>
      <c r="V36" s="13">
        <f>('TUSD BE'!$W$36+'TUSD BF'!$W$36+'TUSD CVA'!$W$36)*(1 - CUSTOS!$M$39)</f>
        <v>0</v>
      </c>
      <c r="W36" s="13">
        <f>('TUSD BE'!$X$36+'TUSD BF'!$X$36+'TUSD CVA'!$X$36)*(1 - CUSTOS!$M$39)</f>
        <v>0</v>
      </c>
      <c r="X36" s="13">
        <f>('TUSD BE'!$Y$36+'TUSD BF'!$Y$36+'TUSD CVA'!$Y$36)*(1 - CUSTOS!$M$39)</f>
        <v>56.165944812037495</v>
      </c>
      <c r="Y36" s="13">
        <f>('TUSD BE'!$Z$36+'TUSD BF'!$Z$36+'TUSD CVA'!$Z$36)*(1 - CUSTOS!$M$39)</f>
        <v>0</v>
      </c>
      <c r="Z36" s="13">
        <f>('TUSD BE'!$AA$36+'TUSD BF'!$AA$36+'TUSD CVA'!$AA$36)*(1 - CUSTOS!$M$39)</f>
        <v>0</v>
      </c>
      <c r="AA36" s="13">
        <f>('TUSD BE'!$AC$36+'TUSD BF'!$AC$36+'TUSD CVA'!$AC$36)*(1 - CUSTOS!$M$39)</f>
        <v>52.027458292063621</v>
      </c>
      <c r="AB36" s="13">
        <f ca="1">('TUSD BE'!$AE$36+'TUSD BF'!$AE$36+'TUSD CVA'!$AE$36)*(1 - CUSTOS!$M$39)</f>
        <v>0</v>
      </c>
      <c r="AC36" s="13">
        <f ca="1">('TUSD BE'!$AF$36+'TUSD BF'!$AF$36+'TUSD CVA'!$AF$36)*(1 - CUSTOS!$M$39)</f>
        <v>0</v>
      </c>
      <c r="AD36" s="13">
        <f>('TUSD BE'!$AH$36+'TUSD BF'!$AH$36+'TUSD CVA'!$AH$36)*(1 - CUSTOS!$M$39)</f>
        <v>17.044001164071101</v>
      </c>
      <c r="AE36" s="13">
        <f>('TUSD BE'!$AI$36+'TUSD BF'!$AI$36+'TUSD CVA'!$AI$36)*(1 - CUSTOS!$M$39)</f>
        <v>0</v>
      </c>
      <c r="AF36" s="13">
        <f ca="1">('TUSD BE'!$AJ$36+'TUSD BF'!$AJ$36+'TUSD CVA'!$AJ$36)*(1 - CUSTOS!$M$39)</f>
        <v>0</v>
      </c>
      <c r="AG36" s="13">
        <f ca="1">('TUSD BE'!$AK$36+'TUSD BF'!$AK$36+'TUSD CVA'!$AK$36)*(1 - CUSTOS!$M$39)</f>
        <v>0</v>
      </c>
      <c r="AI36" s="13">
        <v>0</v>
      </c>
      <c r="AJ36" s="13">
        <v>0.87694063884336804</v>
      </c>
      <c r="AK36" s="13">
        <v>0</v>
      </c>
      <c r="AL36" s="13">
        <v>0</v>
      </c>
      <c r="AM36" s="13">
        <v>0</v>
      </c>
      <c r="AN36" s="13">
        <v>62.242875162526602</v>
      </c>
      <c r="AO36" s="13">
        <v>9.4473270661662099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51.177288676900702</v>
      </c>
      <c r="AV36" s="13">
        <v>0</v>
      </c>
      <c r="AW36" s="13">
        <v>0</v>
      </c>
      <c r="AX36" s="13">
        <v>50.1924515192947</v>
      </c>
      <c r="AY36" s="13">
        <v>0</v>
      </c>
      <c r="AZ36" s="13">
        <v>0</v>
      </c>
      <c r="BA36" s="13">
        <v>22.773144555364599</v>
      </c>
      <c r="BB36" s="13">
        <v>0</v>
      </c>
      <c r="BC36" s="13">
        <v>0</v>
      </c>
      <c r="BD36" s="13">
        <v>0</v>
      </c>
    </row>
    <row r="37" spans="1:56" ht="11.25" customHeight="1" x14ac:dyDescent="0.3">
      <c r="A37" s="91"/>
      <c r="B37" s="17" t="s">
        <v>23</v>
      </c>
      <c r="C37" s="17" t="s">
        <v>40</v>
      </c>
      <c r="D37" s="17" t="s">
        <v>85</v>
      </c>
      <c r="E37" s="17" t="s">
        <v>25</v>
      </c>
      <c r="F37" s="17" t="s">
        <v>25</v>
      </c>
      <c r="G37" s="18" t="s">
        <v>74</v>
      </c>
      <c r="H37" s="18" t="s">
        <v>68</v>
      </c>
      <c r="I37" s="18">
        <f>'MERCADO TUSD'!$U$34</f>
        <v>0</v>
      </c>
      <c r="J37" s="15"/>
      <c r="L37" s="13">
        <f>('TUSD BE'!$L$37+'TUSD BF'!$L$37+'TUSD CVA'!$L$37)*(1 - CUSTOS!$M$39)</f>
        <v>0</v>
      </c>
      <c r="M37" s="13">
        <f>('TUSD BE'!$M$37+'TUSD BF'!$M$37+'TUSD CVA'!$M$37)*(1 - CUSTOS!$M$39)</f>
        <v>0.7458637406890628</v>
      </c>
      <c r="N37" s="13">
        <f ca="1">('TUSD BE'!$N$37+'TUSD BF'!$N$37+'TUSD CVA'!$N$37)*(1 - CUSTOS!$M$39)</f>
        <v>0</v>
      </c>
      <c r="O37" s="13">
        <f>('TUSD BE'!$O$37+'TUSD BF'!$O$37+'TUSD CVA'!$O$37)*(1 - CUSTOS!$M$39)</f>
        <v>0</v>
      </c>
      <c r="P37" s="13">
        <f>('TUSD BE'!$P$37+'TUSD BF'!$P$37+'TUSD CVA'!$P$37)*(1 - CUSTOS!$M$39)</f>
        <v>0</v>
      </c>
      <c r="Q37" s="13">
        <f>('TUSD BE'!$Q$37+'TUSD BF'!$Q$37+'TUSD CVA'!$Q$37)*(1 - CUSTOS!$M$39)</f>
        <v>79.002423630170284</v>
      </c>
      <c r="R37" s="13">
        <f>('TUSD BE'!$R$37+'TUSD BF'!$R$37+'TUSD CVA'!$R$37)*(1 - CUSTOS!$M$39)</f>
        <v>12.455145781304321</v>
      </c>
      <c r="S37" s="13">
        <f>('TUSD BE'!$S$37+'TUSD BF'!$S$37+'TUSD CVA'!$S$37)*(1 - CUSTOS!$M$39)</f>
        <v>0</v>
      </c>
      <c r="T37" s="13">
        <f>('TUSD BE'!$U$37+'TUSD BF'!$U$37+'TUSD CVA'!$U$37)*(1 - CUSTOS!$M$39)</f>
        <v>0</v>
      </c>
      <c r="U37" s="13">
        <f>('TUSD BE'!$V$37+'TUSD BF'!$V$37+'TUSD CVA'!$V$37)*(1 - CUSTOS!$M$39)</f>
        <v>0</v>
      </c>
      <c r="V37" s="13">
        <f>('TUSD BE'!$W$37+'TUSD BF'!$W$37+'TUSD CVA'!$W$37)*(1 - CUSTOS!$M$39)</f>
        <v>0</v>
      </c>
      <c r="W37" s="13">
        <f>('TUSD BE'!$X$37+'TUSD BF'!$X$37+'TUSD CVA'!$X$37)*(1 - CUSTOS!$M$39)</f>
        <v>0</v>
      </c>
      <c r="X37" s="13">
        <f>('TUSD BE'!$Y$37+'TUSD BF'!$Y$37+'TUSD CVA'!$Y$37)*(1 - CUSTOS!$M$39)</f>
        <v>95.256331496620689</v>
      </c>
      <c r="Y37" s="13">
        <f>('TUSD BE'!$Z$37+'TUSD BF'!$Z$37+'TUSD CVA'!$Z$37)*(1 - CUSTOS!$M$39)</f>
        <v>0</v>
      </c>
      <c r="Z37" s="13">
        <f>('TUSD BE'!$AA$37+'TUSD BF'!$AA$37+'TUSD CVA'!$AA$37)*(1 - CUSTOS!$M$39)</f>
        <v>0</v>
      </c>
      <c r="AA37" s="13">
        <f>('TUSD BE'!$AC$37+'TUSD BF'!$AC$37+'TUSD CVA'!$AC$37)*(1 - CUSTOS!$M$39)</f>
        <v>88.182156594917018</v>
      </c>
      <c r="AB37" s="13">
        <f ca="1">('TUSD BE'!$AE$37+'TUSD BF'!$AE$37+'TUSD CVA'!$AE$37)*(1 - CUSTOS!$M$39)</f>
        <v>0</v>
      </c>
      <c r="AC37" s="13">
        <f ca="1">('TUSD BE'!$AF$37+'TUSD BF'!$AF$37+'TUSD CVA'!$AF$37)*(1 - CUSTOS!$M$39)</f>
        <v>0</v>
      </c>
      <c r="AD37" s="13">
        <f>('TUSD BE'!$AH$37+'TUSD BF'!$AH$37+'TUSD CVA'!$AH$37)*(1 - CUSTOS!$M$39)</f>
        <v>17.044001164071101</v>
      </c>
      <c r="AE37" s="13">
        <f>('TUSD BE'!$AI$37+'TUSD BF'!$AI$37+'TUSD CVA'!$AI$37)*(1 - CUSTOS!$M$39)</f>
        <v>0</v>
      </c>
      <c r="AF37" s="13">
        <f ca="1">('TUSD BE'!$AJ$37+'TUSD BF'!$AJ$37+'TUSD CVA'!$AJ$37)*(1 - CUSTOS!$M$39)</f>
        <v>0</v>
      </c>
      <c r="AG37" s="13">
        <f ca="1">('TUSD BE'!$AK$37+'TUSD BF'!$AK$37+'TUSD CVA'!$AK$37)*(1 - CUSTOS!$M$39)</f>
        <v>0</v>
      </c>
      <c r="AI37" s="13">
        <v>0</v>
      </c>
      <c r="AJ37" s="13">
        <v>0.87694063884336804</v>
      </c>
      <c r="AK37" s="13">
        <v>0</v>
      </c>
      <c r="AL37" s="13">
        <v>0</v>
      </c>
      <c r="AM37" s="13">
        <v>0</v>
      </c>
      <c r="AN37" s="13">
        <v>62.242875162526602</v>
      </c>
      <c r="AO37" s="13">
        <v>9.4473270661662099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86.795712490747704</v>
      </c>
      <c r="AV37" s="13">
        <v>0</v>
      </c>
      <c r="AW37" s="13">
        <v>0</v>
      </c>
      <c r="AX37" s="13">
        <v>85.072008785627204</v>
      </c>
      <c r="AY37" s="13">
        <v>0</v>
      </c>
      <c r="AZ37" s="13">
        <v>0</v>
      </c>
      <c r="BA37" s="13">
        <v>22.773144555364599</v>
      </c>
      <c r="BB37" s="13">
        <v>0</v>
      </c>
      <c r="BC37" s="13">
        <v>0</v>
      </c>
      <c r="BD37" s="13">
        <v>0</v>
      </c>
    </row>
    <row r="38" spans="1:56" ht="11.25" customHeight="1" x14ac:dyDescent="0.3">
      <c r="A38" s="91"/>
      <c r="B38" s="91" t="s">
        <v>82</v>
      </c>
      <c r="C38" s="91" t="s">
        <v>40</v>
      </c>
      <c r="D38" s="91" t="s">
        <v>86</v>
      </c>
      <c r="E38" s="91" t="s">
        <v>25</v>
      </c>
      <c r="F38" s="91" t="s">
        <v>25</v>
      </c>
      <c r="G38" s="18" t="s">
        <v>69</v>
      </c>
      <c r="H38" s="18" t="s">
        <v>68</v>
      </c>
      <c r="I38" s="18">
        <f>'MERCADO TUSD'!$U$35</f>
        <v>0</v>
      </c>
      <c r="J38" s="15"/>
      <c r="L38" s="13">
        <f>('TUSD BE'!$L$38+'TUSD BF'!$L$38+'TUSD CVA'!$L$38)*(1 - CUSTOS!$M$40)</f>
        <v>0</v>
      </c>
      <c r="M38" s="13">
        <f>('TUSD BE'!$M$38+'TUSD BF'!$M$38+'TUSD CVA'!$M$38)*(1 - CUSTOS!$M$40)</f>
        <v>0.72999429939780625</v>
      </c>
      <c r="N38" s="13">
        <f ca="1">('TUSD BE'!$N$38+'TUSD BF'!$N$38+'TUSD CVA'!$N$38)*(1 - CUSTOS!$M$40)</f>
        <v>0</v>
      </c>
      <c r="O38" s="13">
        <f>('TUSD BE'!$O$38+'TUSD BF'!$O$38+'TUSD CVA'!$O$38)*(1 - CUSTOS!$M$40)</f>
        <v>0</v>
      </c>
      <c r="P38" s="13">
        <f>('TUSD BE'!$P$38+'TUSD BF'!$P$38+'TUSD CVA'!$P$38)*(1 - CUSTOS!$M$40)</f>
        <v>0</v>
      </c>
      <c r="Q38" s="13">
        <f>('TUSD BE'!$Q$38+'TUSD BF'!$Q$38+'TUSD CVA'!$Q$38)*(1 - CUSTOS!$M$40)</f>
        <v>77.321520999741125</v>
      </c>
      <c r="R38" s="13">
        <f>('TUSD BE'!$R$38+'TUSD BF'!$R$38+'TUSD CVA'!$R$38)*(1 - CUSTOS!$M$40)</f>
        <v>12.190142679574443</v>
      </c>
      <c r="S38" s="13">
        <f>('TUSD BE'!$S$38+'TUSD BF'!$S$38+'TUSD CVA'!$S$38)*(1 - CUSTOS!$M$40)</f>
        <v>0</v>
      </c>
      <c r="T38" s="13">
        <f>('TUSD BE'!$U$38+'TUSD BF'!$U$38+'TUSD CVA'!$U$38)*(1 - CUSTOS!$M$40)</f>
        <v>0</v>
      </c>
      <c r="U38" s="13">
        <f>('TUSD BE'!$V$38+'TUSD BF'!$V$38+'TUSD CVA'!$V$38)*(1 - CUSTOS!$M$40)</f>
        <v>0</v>
      </c>
      <c r="V38" s="13">
        <f>('TUSD BE'!$W$38+'TUSD BF'!$W$38+'TUSD CVA'!$W$38)*(1 - CUSTOS!$M$40)</f>
        <v>0</v>
      </c>
      <c r="W38" s="13">
        <f>('TUSD BE'!$X$38+'TUSD BF'!$X$38+'TUSD CVA'!$X$38)*(1 - CUSTOS!$M$40)</f>
        <v>0</v>
      </c>
      <c r="X38" s="13">
        <f>('TUSD BE'!$Y$38+'TUSD BF'!$Y$38+'TUSD CVA'!$Y$38)*(1 - CUSTOS!$M$40)</f>
        <v>275.03864877751374</v>
      </c>
      <c r="Y38" s="13">
        <f>('TUSD BE'!$Z$38+'TUSD BF'!$Z$38+'TUSD CVA'!$Z$38)*(1 - CUSTOS!$M$40)</f>
        <v>0</v>
      </c>
      <c r="Z38" s="13">
        <f>('TUSD BE'!$AA$38+'TUSD BF'!$AA$38+'TUSD CVA'!$AA$38)*(1 - CUSTOS!$M$40)</f>
        <v>0</v>
      </c>
      <c r="AA38" s="13">
        <f>('TUSD BE'!$AC$38+'TUSD BF'!$AC$38+'TUSD CVA'!$AC$38)*(1 - CUSTOS!$M$40)</f>
        <v>254.60254171530087</v>
      </c>
      <c r="AB38" s="13">
        <f ca="1">('TUSD BE'!$AE$38+'TUSD BF'!$AE$38+'TUSD CVA'!$AE$38)*(1 - CUSTOS!$M$40)</f>
        <v>0</v>
      </c>
      <c r="AC38" s="13">
        <f ca="1">('TUSD BE'!$AF$38+'TUSD BF'!$AF$38+'TUSD CVA'!$AF$38)*(1 - CUSTOS!$M$40)</f>
        <v>0</v>
      </c>
      <c r="AD38" s="13">
        <f>('TUSD BE'!$AH$38+'TUSD BF'!$AH$38+'TUSD CVA'!$AH$38)*(1 - CUSTOS!$M$40)</f>
        <v>16.681362841431294</v>
      </c>
      <c r="AE38" s="13">
        <f>('TUSD BE'!$AI$38+'TUSD BF'!$AI$38+'TUSD CVA'!$AI$38)*(1 - CUSTOS!$M$40)</f>
        <v>0</v>
      </c>
      <c r="AF38" s="13">
        <f ca="1">('TUSD BE'!$AJ$38+'TUSD BF'!$AJ$38+'TUSD CVA'!$AJ$38)*(1 - CUSTOS!$M$40)</f>
        <v>0</v>
      </c>
      <c r="AG38" s="13">
        <f ca="1">('TUSD BE'!$AK$38+'TUSD BF'!$AK$38+'TUSD CVA'!$AK$38)*(1 - CUSTOS!$M$40)</f>
        <v>0</v>
      </c>
      <c r="AI38" s="13">
        <v>0</v>
      </c>
      <c r="AJ38" s="13">
        <v>0.83707970071412396</v>
      </c>
      <c r="AK38" s="13">
        <v>0</v>
      </c>
      <c r="AL38" s="13">
        <v>0</v>
      </c>
      <c r="AM38" s="13">
        <v>0</v>
      </c>
      <c r="AN38" s="13">
        <v>59.413653564229897</v>
      </c>
      <c r="AO38" s="13">
        <v>9.0179031086132007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244.41893358377001</v>
      </c>
      <c r="AV38" s="13">
        <v>0</v>
      </c>
      <c r="AW38" s="13">
        <v>0</v>
      </c>
      <c r="AX38" s="13">
        <v>239.55503527038499</v>
      </c>
      <c r="AY38" s="13">
        <v>0</v>
      </c>
      <c r="AZ38" s="13">
        <v>0</v>
      </c>
      <c r="BA38" s="13">
        <v>21.738001621029799</v>
      </c>
      <c r="BB38" s="13">
        <v>0</v>
      </c>
      <c r="BC38" s="13">
        <v>0</v>
      </c>
      <c r="BD38" s="13">
        <v>0</v>
      </c>
    </row>
    <row r="39" spans="1:56" ht="11.25" customHeight="1" x14ac:dyDescent="0.3">
      <c r="A39" s="91"/>
      <c r="B39" s="91"/>
      <c r="C39" s="91"/>
      <c r="D39" s="91"/>
      <c r="E39" s="91"/>
      <c r="F39" s="91"/>
      <c r="G39" s="18" t="s">
        <v>80</v>
      </c>
      <c r="H39" s="18" t="s">
        <v>68</v>
      </c>
      <c r="I39" s="18">
        <f>'MERCADO TUSD'!$U$36</f>
        <v>0</v>
      </c>
      <c r="J39" s="15"/>
      <c r="L39" s="13">
        <f>('TUSD BE'!$L$39+'TUSD BF'!$L$39+'TUSD CVA'!$L$39)*(1 - CUSTOS!$M$40)</f>
        <v>0</v>
      </c>
      <c r="M39" s="13">
        <f>('TUSD BE'!$M$39+'TUSD BF'!$M$39+'TUSD CVA'!$M$39)*(1 - CUSTOS!$M$40)</f>
        <v>0.72999429939780625</v>
      </c>
      <c r="N39" s="13">
        <f ca="1">('TUSD BE'!$N$39+'TUSD BF'!$N$39+'TUSD CVA'!$N$39)*(1 - CUSTOS!$M$40)</f>
        <v>0</v>
      </c>
      <c r="O39" s="13">
        <f>('TUSD BE'!$O$39+'TUSD BF'!$O$39+'TUSD CVA'!$O$39)*(1 - CUSTOS!$M$40)</f>
        <v>0</v>
      </c>
      <c r="P39" s="13">
        <f>('TUSD BE'!$P$39+'TUSD BF'!$P$39+'TUSD CVA'!$P$39)*(1 - CUSTOS!$M$40)</f>
        <v>0</v>
      </c>
      <c r="Q39" s="13">
        <f>('TUSD BE'!$Q$39+'TUSD BF'!$Q$39+'TUSD CVA'!$Q$39)*(1 - CUSTOS!$M$40)</f>
        <v>77.321520999741125</v>
      </c>
      <c r="R39" s="13">
        <f>('TUSD BE'!$R$39+'TUSD BF'!$R$39+'TUSD CVA'!$R$39)*(1 - CUSTOS!$M$40)</f>
        <v>12.190142679574443</v>
      </c>
      <c r="S39" s="13">
        <f>('TUSD BE'!$S$39+'TUSD BF'!$S$39+'TUSD CVA'!$S$39)*(1 - CUSTOS!$M$40)</f>
        <v>0</v>
      </c>
      <c r="T39" s="13">
        <f>('TUSD BE'!$U$39+'TUSD BF'!$U$39+'TUSD CVA'!$U$39)*(1 - CUSTOS!$M$40)</f>
        <v>0</v>
      </c>
      <c r="U39" s="13">
        <f>('TUSD BE'!$V$39+'TUSD BF'!$V$39+'TUSD CVA'!$V$39)*(1 - CUSTOS!$M$40)</f>
        <v>0</v>
      </c>
      <c r="V39" s="13">
        <f>('TUSD BE'!$W$39+'TUSD BF'!$W$39+'TUSD CVA'!$W$39)*(1 - CUSTOS!$M$40)</f>
        <v>0</v>
      </c>
      <c r="W39" s="13">
        <f>('TUSD BE'!$X$39+'TUSD BF'!$X$39+'TUSD CVA'!$X$39)*(1 - CUSTOS!$M$40)</f>
        <v>0</v>
      </c>
      <c r="X39" s="13">
        <f>('TUSD BE'!$Y$39+'TUSD BF'!$Y$39+'TUSD CVA'!$Y$39)*(1 - CUSTOS!$M$40)</f>
        <v>165.00478674358374</v>
      </c>
      <c r="Y39" s="13">
        <f>('TUSD BE'!$Z$39+'TUSD BF'!$Z$39+'TUSD CVA'!$Z$39)*(1 - CUSTOS!$M$40)</f>
        <v>0</v>
      </c>
      <c r="Z39" s="13">
        <f>('TUSD BE'!$AA$39+'TUSD BF'!$AA$39+'TUSD CVA'!$AA$39)*(1 - CUSTOS!$M$40)</f>
        <v>0</v>
      </c>
      <c r="AA39" s="13">
        <f>('TUSD BE'!$AC$39+'TUSD BF'!$AC$39+'TUSD CVA'!$AC$39)*(1 - CUSTOS!$M$40)</f>
        <v>152.76147328308039</v>
      </c>
      <c r="AB39" s="13">
        <f ca="1">('TUSD BE'!$AE$39+'TUSD BF'!$AE$39+'TUSD CVA'!$AE$39)*(1 - CUSTOS!$M$40)</f>
        <v>0</v>
      </c>
      <c r="AC39" s="13">
        <f ca="1">('TUSD BE'!$AF$39+'TUSD BF'!$AF$39+'TUSD CVA'!$AF$39)*(1 - CUSTOS!$M$40)</f>
        <v>0</v>
      </c>
      <c r="AD39" s="13">
        <f>('TUSD BE'!$AH$39+'TUSD BF'!$AH$39+'TUSD CVA'!$AH$39)*(1 - CUSTOS!$M$40)</f>
        <v>16.681362841431294</v>
      </c>
      <c r="AE39" s="13">
        <f>('TUSD BE'!$AI$39+'TUSD BF'!$AI$39+'TUSD CVA'!$AI$39)*(1 - CUSTOS!$M$40)</f>
        <v>0</v>
      </c>
      <c r="AF39" s="13">
        <f ca="1">('TUSD BE'!$AJ$39+'TUSD BF'!$AJ$39+'TUSD CVA'!$AJ$39)*(1 - CUSTOS!$M$40)</f>
        <v>0</v>
      </c>
      <c r="AG39" s="13">
        <f ca="1">('TUSD BE'!$AK$39+'TUSD BF'!$AK$39+'TUSD CVA'!$AK$39)*(1 - CUSTOS!$M$40)</f>
        <v>0</v>
      </c>
      <c r="AI39" s="13">
        <v>0</v>
      </c>
      <c r="AJ39" s="13">
        <v>0.83707970071412396</v>
      </c>
      <c r="AK39" s="13">
        <v>0</v>
      </c>
      <c r="AL39" s="13">
        <v>0</v>
      </c>
      <c r="AM39" s="13">
        <v>0</v>
      </c>
      <c r="AN39" s="13">
        <v>59.413653564229897</v>
      </c>
      <c r="AO39" s="13">
        <v>9.0179031086132007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146.634990933133</v>
      </c>
      <c r="AV39" s="13">
        <v>0</v>
      </c>
      <c r="AW39" s="13">
        <v>0</v>
      </c>
      <c r="AX39" s="13">
        <v>143.73298035710999</v>
      </c>
      <c r="AY39" s="13">
        <v>0</v>
      </c>
      <c r="AZ39" s="13">
        <v>0</v>
      </c>
      <c r="BA39" s="13">
        <v>21.738001621029799</v>
      </c>
      <c r="BB39" s="13">
        <v>0</v>
      </c>
      <c r="BC39" s="13">
        <v>0</v>
      </c>
      <c r="BD39" s="13">
        <v>0</v>
      </c>
    </row>
    <row r="40" spans="1:56" ht="11.25" customHeight="1" x14ac:dyDescent="0.3">
      <c r="A40" s="91"/>
      <c r="B40" s="91"/>
      <c r="C40" s="91"/>
      <c r="D40" s="91"/>
      <c r="E40" s="91"/>
      <c r="F40" s="91"/>
      <c r="G40" s="18" t="s">
        <v>70</v>
      </c>
      <c r="H40" s="18" t="s">
        <v>68</v>
      </c>
      <c r="I40" s="18">
        <f>'MERCADO TUSD'!$U$37</f>
        <v>0</v>
      </c>
      <c r="J40" s="15"/>
      <c r="L40" s="13">
        <f>('TUSD BE'!$L$40+'TUSD BF'!$L$40+'TUSD CVA'!$L$40)*(1 - CUSTOS!$M$40)</f>
        <v>0</v>
      </c>
      <c r="M40" s="13">
        <f>('TUSD BE'!$M$40+'TUSD BF'!$M$40+'TUSD CVA'!$M$40)*(1 - CUSTOS!$M$40)</f>
        <v>0.72999429939780625</v>
      </c>
      <c r="N40" s="13">
        <f ca="1">('TUSD BE'!$N$40+'TUSD BF'!$N$40+'TUSD CVA'!$N$40)*(1 - CUSTOS!$M$40)</f>
        <v>0</v>
      </c>
      <c r="O40" s="13">
        <f>('TUSD BE'!$O$40+'TUSD BF'!$O$40+'TUSD CVA'!$O$40)*(1 - CUSTOS!$M$40)</f>
        <v>0</v>
      </c>
      <c r="P40" s="13">
        <f>('TUSD BE'!$P$40+'TUSD BF'!$P$40+'TUSD CVA'!$P$40)*(1 - CUSTOS!$M$40)</f>
        <v>0</v>
      </c>
      <c r="Q40" s="13">
        <f>('TUSD BE'!$Q$40+'TUSD BF'!$Q$40+'TUSD CVA'!$Q$40)*(1 - CUSTOS!$M$40)</f>
        <v>77.321520999741125</v>
      </c>
      <c r="R40" s="13">
        <f>('TUSD BE'!$R$40+'TUSD BF'!$R$40+'TUSD CVA'!$R$40)*(1 - CUSTOS!$M$40)</f>
        <v>12.190142679574443</v>
      </c>
      <c r="S40" s="13">
        <f>('TUSD BE'!$S$40+'TUSD BF'!$S$40+'TUSD CVA'!$S$40)*(1 - CUSTOS!$M$40)</f>
        <v>0</v>
      </c>
      <c r="T40" s="13">
        <f>('TUSD BE'!$U$40+'TUSD BF'!$U$40+'TUSD CVA'!$U$40)*(1 - CUSTOS!$M$40)</f>
        <v>0</v>
      </c>
      <c r="U40" s="13">
        <f>('TUSD BE'!$V$40+'TUSD BF'!$V$40+'TUSD CVA'!$V$40)*(1 - CUSTOS!$M$40)</f>
        <v>0</v>
      </c>
      <c r="V40" s="13">
        <f>('TUSD BE'!$W$40+'TUSD BF'!$W$40+'TUSD CVA'!$W$40)*(1 - CUSTOS!$M$40)</f>
        <v>0</v>
      </c>
      <c r="W40" s="13">
        <f>('TUSD BE'!$X$40+'TUSD BF'!$X$40+'TUSD CVA'!$X$40)*(1 - CUSTOS!$M$40)</f>
        <v>0</v>
      </c>
      <c r="X40" s="13">
        <f>('TUSD BE'!$Y$40+'TUSD BF'!$Y$40+'TUSD CVA'!$Y$40)*(1 - CUSTOS!$M$40)</f>
        <v>54.970924709653723</v>
      </c>
      <c r="Y40" s="13">
        <f>('TUSD BE'!$Z$40+'TUSD BF'!$Z$40+'TUSD CVA'!$Z$40)*(1 - CUSTOS!$M$40)</f>
        <v>0</v>
      </c>
      <c r="Z40" s="13">
        <f>('TUSD BE'!$AA$40+'TUSD BF'!$AA$40+'TUSD CVA'!$AA$40)*(1 - CUSTOS!$M$40)</f>
        <v>0</v>
      </c>
      <c r="AA40" s="13">
        <f>('TUSD BE'!$AC$40+'TUSD BF'!$AC$40+'TUSD CVA'!$AC$40)*(1 - CUSTOS!$M$40)</f>
        <v>50.920491094360145</v>
      </c>
      <c r="AB40" s="13">
        <f ca="1">('TUSD BE'!$AE$40+'TUSD BF'!$AE$40+'TUSD CVA'!$AE$40)*(1 - CUSTOS!$M$40)</f>
        <v>0</v>
      </c>
      <c r="AC40" s="13">
        <f ca="1">('TUSD BE'!$AF$40+'TUSD BF'!$AF$40+'TUSD CVA'!$AF$40)*(1 - CUSTOS!$M$40)</f>
        <v>0</v>
      </c>
      <c r="AD40" s="13">
        <f>('TUSD BE'!$AH$40+'TUSD BF'!$AH$40+'TUSD CVA'!$AH$40)*(1 - CUSTOS!$M$40)</f>
        <v>16.681362841431294</v>
      </c>
      <c r="AE40" s="13">
        <f>('TUSD BE'!$AI$40+'TUSD BF'!$AI$40+'TUSD CVA'!$AI$40)*(1 - CUSTOS!$M$40)</f>
        <v>0</v>
      </c>
      <c r="AF40" s="13">
        <f ca="1">('TUSD BE'!$AJ$40+'TUSD BF'!$AJ$40+'TUSD CVA'!$AJ$40)*(1 - CUSTOS!$M$40)</f>
        <v>0</v>
      </c>
      <c r="AG40" s="13">
        <f ca="1">('TUSD BE'!$AK$40+'TUSD BF'!$AK$40+'TUSD CVA'!$AK$40)*(1 - CUSTOS!$M$40)</f>
        <v>0</v>
      </c>
      <c r="AI40" s="13">
        <v>0</v>
      </c>
      <c r="AJ40" s="13">
        <v>0.83707970071412396</v>
      </c>
      <c r="AK40" s="13">
        <v>0</v>
      </c>
      <c r="AL40" s="13">
        <v>0</v>
      </c>
      <c r="AM40" s="13">
        <v>0</v>
      </c>
      <c r="AN40" s="13">
        <v>59.413653564229897</v>
      </c>
      <c r="AO40" s="13">
        <v>9.0179031086132007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48.851048282496102</v>
      </c>
      <c r="AV40" s="13">
        <v>0</v>
      </c>
      <c r="AW40" s="13">
        <v>0</v>
      </c>
      <c r="AX40" s="13">
        <v>47.9109764502359</v>
      </c>
      <c r="AY40" s="13">
        <v>0</v>
      </c>
      <c r="AZ40" s="13">
        <v>0</v>
      </c>
      <c r="BA40" s="13">
        <v>21.738001621029799</v>
      </c>
      <c r="BB40" s="13">
        <v>0</v>
      </c>
      <c r="BC40" s="13">
        <v>0</v>
      </c>
      <c r="BD40" s="13">
        <v>0</v>
      </c>
    </row>
    <row r="41" spans="1:56" ht="11.25" customHeight="1" x14ac:dyDescent="0.3">
      <c r="A41" s="91"/>
      <c r="B41" s="17" t="s">
        <v>23</v>
      </c>
      <c r="C41" s="17" t="s">
        <v>40</v>
      </c>
      <c r="D41" s="17" t="s">
        <v>86</v>
      </c>
      <c r="E41" s="17" t="s">
        <v>25</v>
      </c>
      <c r="F41" s="17" t="s">
        <v>25</v>
      </c>
      <c r="G41" s="18" t="s">
        <v>74</v>
      </c>
      <c r="H41" s="18" t="s">
        <v>68</v>
      </c>
      <c r="I41" s="18">
        <f>'MERCADO TUSD'!$U$38</f>
        <v>0</v>
      </c>
      <c r="J41" s="15"/>
      <c r="L41" s="13">
        <f>('TUSD BE'!$L$41+'TUSD BF'!$L$41+'TUSD CVA'!$L$41)*(1 - CUSTOS!$M$40)</f>
        <v>0</v>
      </c>
      <c r="M41" s="13">
        <f>('TUSD BE'!$M$41+'TUSD BF'!$M$41+'TUSD CVA'!$M$41)*(1 - CUSTOS!$M$40)</f>
        <v>0.72999429939780625</v>
      </c>
      <c r="N41" s="13">
        <f ca="1">('TUSD BE'!$N$41+'TUSD BF'!$N$41+'TUSD CVA'!$N$41)*(1 - CUSTOS!$M$40)</f>
        <v>0</v>
      </c>
      <c r="O41" s="13">
        <f>('TUSD BE'!$O$41+'TUSD BF'!$O$41+'TUSD CVA'!$O$41)*(1 - CUSTOS!$M$40)</f>
        <v>0</v>
      </c>
      <c r="P41" s="13">
        <f>('TUSD BE'!$P$41+'TUSD BF'!$P$41+'TUSD CVA'!$P$41)*(1 - CUSTOS!$M$40)</f>
        <v>0</v>
      </c>
      <c r="Q41" s="13">
        <f>('TUSD BE'!$Q$41+'TUSD BF'!$Q$41+'TUSD CVA'!$Q$41)*(1 - CUSTOS!$M$40)</f>
        <v>77.321520999741125</v>
      </c>
      <c r="R41" s="13">
        <f>('TUSD BE'!$R$41+'TUSD BF'!$R$41+'TUSD CVA'!$R$41)*(1 - CUSTOS!$M$40)</f>
        <v>12.190142679574443</v>
      </c>
      <c r="S41" s="13">
        <f>('TUSD BE'!$S$41+'TUSD BF'!$S$41+'TUSD CVA'!$S$41)*(1 - CUSTOS!$M$40)</f>
        <v>0</v>
      </c>
      <c r="T41" s="13">
        <f>('TUSD BE'!$U$41+'TUSD BF'!$U$41+'TUSD CVA'!$U$41)*(1 - CUSTOS!$M$40)</f>
        <v>0</v>
      </c>
      <c r="U41" s="13">
        <f>('TUSD BE'!$V$41+'TUSD BF'!$V$41+'TUSD CVA'!$V$41)*(1 - CUSTOS!$M$40)</f>
        <v>0</v>
      </c>
      <c r="V41" s="13">
        <f>('TUSD BE'!$W$41+'TUSD BF'!$W$41+'TUSD CVA'!$W$41)*(1 - CUSTOS!$M$40)</f>
        <v>0</v>
      </c>
      <c r="W41" s="13">
        <f>('TUSD BE'!$X$41+'TUSD BF'!$X$41+'TUSD CVA'!$X$41)*(1 - CUSTOS!$M$40)</f>
        <v>0</v>
      </c>
      <c r="X41" s="13">
        <f>('TUSD BE'!$Y$41+'TUSD BF'!$Y$41+'TUSD CVA'!$Y$41)*(1 - CUSTOS!$M$40)</f>
        <v>93.229601039245793</v>
      </c>
      <c r="Y41" s="13">
        <f>('TUSD BE'!$Z$41+'TUSD BF'!$Z$41+'TUSD CVA'!$Z$41)*(1 - CUSTOS!$M$40)</f>
        <v>0</v>
      </c>
      <c r="Z41" s="13">
        <f>('TUSD BE'!$AA$41+'TUSD BF'!$AA$41+'TUSD CVA'!$AA$41)*(1 - CUSTOS!$M$40)</f>
        <v>0</v>
      </c>
      <c r="AA41" s="13">
        <f>('TUSD BE'!$AC$41+'TUSD BF'!$AC$41+'TUSD CVA'!$AC$41)*(1 - CUSTOS!$M$40)</f>
        <v>86.305940497152832</v>
      </c>
      <c r="AB41" s="13">
        <f ca="1">('TUSD BE'!$AE$41+'TUSD BF'!$AE$41+'TUSD CVA'!$AE$41)*(1 - CUSTOS!$M$40)</f>
        <v>0</v>
      </c>
      <c r="AC41" s="13">
        <f ca="1">('TUSD BE'!$AF$41+'TUSD BF'!$AF$41+'TUSD CVA'!$AF$41)*(1 - CUSTOS!$M$40)</f>
        <v>0</v>
      </c>
      <c r="AD41" s="13">
        <f>('TUSD BE'!$AH$41+'TUSD BF'!$AH$41+'TUSD CVA'!$AH$41)*(1 - CUSTOS!$M$40)</f>
        <v>16.681362841431294</v>
      </c>
      <c r="AE41" s="13">
        <f>('TUSD BE'!$AI$41+'TUSD BF'!$AI$41+'TUSD CVA'!$AI$41)*(1 - CUSTOS!$M$40)</f>
        <v>0</v>
      </c>
      <c r="AF41" s="13">
        <f ca="1">('TUSD BE'!$AJ$41+'TUSD BF'!$AJ$41+'TUSD CVA'!$AJ$41)*(1 - CUSTOS!$M$40)</f>
        <v>0</v>
      </c>
      <c r="AG41" s="13">
        <f ca="1">('TUSD BE'!$AK$41+'TUSD BF'!$AK$41+'TUSD CVA'!$AK$41)*(1 - CUSTOS!$M$40)</f>
        <v>0</v>
      </c>
      <c r="AI41" s="13">
        <v>0</v>
      </c>
      <c r="AJ41" s="13">
        <v>0.83707970071412396</v>
      </c>
      <c r="AK41" s="13">
        <v>0</v>
      </c>
      <c r="AL41" s="13">
        <v>0</v>
      </c>
      <c r="AM41" s="13">
        <v>0</v>
      </c>
      <c r="AN41" s="13">
        <v>59.413653564229897</v>
      </c>
      <c r="AO41" s="13">
        <v>9.0179031086132007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82.850452832077295</v>
      </c>
      <c r="AV41" s="13">
        <v>0</v>
      </c>
      <c r="AW41" s="13">
        <v>0</v>
      </c>
      <c r="AX41" s="13">
        <v>81.205099295371397</v>
      </c>
      <c r="AY41" s="13">
        <v>0</v>
      </c>
      <c r="AZ41" s="13">
        <v>0</v>
      </c>
      <c r="BA41" s="13">
        <v>21.738001621029799</v>
      </c>
      <c r="BB41" s="13">
        <v>0</v>
      </c>
      <c r="BC41" s="13">
        <v>0</v>
      </c>
      <c r="BD41" s="13">
        <v>0</v>
      </c>
    </row>
    <row r="42" spans="1:56" ht="11.25" customHeight="1" x14ac:dyDescent="0.3">
      <c r="A42" s="91"/>
      <c r="B42" s="91" t="s">
        <v>84</v>
      </c>
      <c r="C42" s="91" t="s">
        <v>40</v>
      </c>
      <c r="D42" s="17" t="s">
        <v>25</v>
      </c>
      <c r="E42" s="17" t="s">
        <v>25</v>
      </c>
      <c r="F42" s="17" t="s">
        <v>25</v>
      </c>
      <c r="G42" s="18" t="s">
        <v>74</v>
      </c>
      <c r="H42" s="18" t="s">
        <v>68</v>
      </c>
      <c r="I42" s="18">
        <f>'MERCADO TUSD'!$U$39</f>
        <v>0</v>
      </c>
      <c r="J42" s="15"/>
      <c r="L42" s="13">
        <f>('TUSD BE'!$L$42+'TUSD BF'!$L$42+'TUSD CVA'!$L$42)*(1 - CUSTOS!$M$38)</f>
        <v>0</v>
      </c>
      <c r="M42" s="13">
        <f>('TUSD BE'!$M$42+'TUSD BF'!$M$42+'TUSD CVA'!$M$42)*(1 - CUSTOS!$M$38)</f>
        <v>0.7458637406890628</v>
      </c>
      <c r="N42" s="13">
        <f ca="1">('TUSD BE'!$N$42+'TUSD BF'!$N$42+'TUSD CVA'!$N$42)*(1 - CUSTOS!$M$38)</f>
        <v>0</v>
      </c>
      <c r="O42" s="13">
        <f>('TUSD BE'!$O$42+'TUSD BF'!$O$42+'TUSD CVA'!$O$42)*(1 - CUSTOS!$M$38)</f>
        <v>0</v>
      </c>
      <c r="P42" s="13">
        <f>('TUSD BE'!$P$42+'TUSD BF'!$P$42+'TUSD CVA'!$P$42)*(1 - CUSTOS!$M$38)</f>
        <v>0</v>
      </c>
      <c r="Q42" s="13">
        <f>('TUSD BE'!$Q$42+'TUSD BF'!$Q$42+'TUSD CVA'!$Q$42)*(1 - CUSTOS!$M$38)</f>
        <v>79.002423630170284</v>
      </c>
      <c r="R42" s="13">
        <f>('TUSD BE'!$R$42+'TUSD BF'!$R$42+'TUSD CVA'!$R$42)*(1 - CUSTOS!$M$38)</f>
        <v>12.455145781304321</v>
      </c>
      <c r="S42" s="13">
        <f>('TUSD BE'!$S$42+'TUSD BF'!$S$42+'TUSD CVA'!$S$42)*(1 - CUSTOS!$M$38)</f>
        <v>0</v>
      </c>
      <c r="T42" s="13">
        <f>('TUSD BE'!$U$42+'TUSD BF'!$U$42+'TUSD CVA'!$U$42)*(1 - CUSTOS!$M$38)</f>
        <v>0</v>
      </c>
      <c r="U42" s="13">
        <f>('TUSD BE'!$V$42+'TUSD BF'!$V$42+'TUSD CVA'!$V$42)*(1 - CUSTOS!$M$38)</f>
        <v>0</v>
      </c>
      <c r="V42" s="13">
        <f>('TUSD BE'!$W$42+'TUSD BF'!$W$42+'TUSD CVA'!$W$42)*(1 - CUSTOS!$M$38)</f>
        <v>0</v>
      </c>
      <c r="W42" s="13">
        <f>('TUSD BE'!$X$42+'TUSD BF'!$X$42+'TUSD CVA'!$X$42)*(1 - CUSTOS!$M$38)</f>
        <v>0</v>
      </c>
      <c r="X42" s="13">
        <f>('TUSD BE'!$Y$42+'TUSD BF'!$Y$42+'TUSD CVA'!$Y$42)*(1 - CUSTOS!$M$38)</f>
        <v>95.256331496620689</v>
      </c>
      <c r="Y42" s="13">
        <f>('TUSD BE'!$Z$42+'TUSD BF'!$Z$42+'TUSD CVA'!$Z$42)*(1 - CUSTOS!$M$38)</f>
        <v>0</v>
      </c>
      <c r="Z42" s="13">
        <f>('TUSD BE'!$AA$42+'TUSD BF'!$AA$42+'TUSD CVA'!$AA$42)*(1 - CUSTOS!$M$38)</f>
        <v>0</v>
      </c>
      <c r="AA42" s="13">
        <f>('TUSD BE'!$AC$42+'TUSD BF'!$AC$42+'TUSD CVA'!$AC$42)*(1 - CUSTOS!$M$38)</f>
        <v>88.182156594917018</v>
      </c>
      <c r="AB42" s="13">
        <f ca="1">('TUSD BE'!$AE$42+'TUSD BF'!$AE$42+'TUSD CVA'!$AE$42)*(1 - CUSTOS!$M$38)</f>
        <v>0</v>
      </c>
      <c r="AC42" s="13">
        <f ca="1">('TUSD BE'!$AF$42+'TUSD BF'!$AF$42+'TUSD CVA'!$AF$42)*(1 - CUSTOS!$M$38)</f>
        <v>0</v>
      </c>
      <c r="AD42" s="13">
        <f>('TUSD BE'!$AH$42+'TUSD BF'!$AH$42+'TUSD CVA'!$AH$42)*(1 - CUSTOS!$M$38)</f>
        <v>17.044001164071101</v>
      </c>
      <c r="AE42" s="13">
        <f>('TUSD BE'!$AI$42+'TUSD BF'!$AI$42+'TUSD CVA'!$AI$42)*(1 - CUSTOS!$M$38)</f>
        <v>0</v>
      </c>
      <c r="AF42" s="13">
        <f ca="1">('TUSD BE'!$AJ$42+'TUSD BF'!$AJ$42+'TUSD CVA'!$AJ$42)*(1 - CUSTOS!$M$38)</f>
        <v>0</v>
      </c>
      <c r="AG42" s="13">
        <f ca="1">('TUSD BE'!$AK$42+'TUSD BF'!$AK$42+'TUSD CVA'!$AK$42)*(1 - CUSTOS!$M$38)</f>
        <v>0</v>
      </c>
      <c r="AI42" s="13">
        <v>0</v>
      </c>
      <c r="AJ42" s="13">
        <v>0.87694063884336804</v>
      </c>
      <c r="AK42" s="13">
        <v>0</v>
      </c>
      <c r="AL42" s="13">
        <v>0</v>
      </c>
      <c r="AM42" s="13">
        <v>0</v>
      </c>
      <c r="AN42" s="13">
        <v>62.242875162526602</v>
      </c>
      <c r="AO42" s="13">
        <v>9.4473270661662099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86.795712490747704</v>
      </c>
      <c r="AV42" s="13">
        <v>0</v>
      </c>
      <c r="AW42" s="13">
        <v>0</v>
      </c>
      <c r="AX42" s="13">
        <v>85.072008785627204</v>
      </c>
      <c r="AY42" s="13">
        <v>0</v>
      </c>
      <c r="AZ42" s="13">
        <v>0</v>
      </c>
      <c r="BA42" s="13">
        <v>22.773144555364599</v>
      </c>
      <c r="BB42" s="13">
        <v>0</v>
      </c>
      <c r="BC42" s="13">
        <v>0</v>
      </c>
      <c r="BD42" s="13">
        <v>0</v>
      </c>
    </row>
    <row r="43" spans="1:56" ht="11.25" customHeight="1" x14ac:dyDescent="0.3">
      <c r="A43" s="91"/>
      <c r="B43" s="91"/>
      <c r="C43" s="91"/>
      <c r="D43" s="17" t="s">
        <v>85</v>
      </c>
      <c r="E43" s="17" t="s">
        <v>25</v>
      </c>
      <c r="F43" s="17" t="s">
        <v>25</v>
      </c>
      <c r="G43" s="18" t="s">
        <v>74</v>
      </c>
      <c r="H43" s="18" t="s">
        <v>68</v>
      </c>
      <c r="I43" s="18">
        <f>'MERCADO TUSD'!$U$40</f>
        <v>0</v>
      </c>
      <c r="J43" s="15"/>
      <c r="L43" s="13">
        <f>('TUSD BE'!$L$43+'TUSD BF'!$L$43+'TUSD CVA'!$L$43)*(1 - CUSTOS!$M$39)</f>
        <v>0</v>
      </c>
      <c r="M43" s="13">
        <f>('TUSD BE'!$M$43+'TUSD BF'!$M$43+'TUSD CVA'!$M$43)*(1 - CUSTOS!$M$39)</f>
        <v>0.7458637406890628</v>
      </c>
      <c r="N43" s="13">
        <f ca="1">('TUSD BE'!$N$43+'TUSD BF'!$N$43+'TUSD CVA'!$N$43)*(1 - CUSTOS!$M$39)</f>
        <v>0</v>
      </c>
      <c r="O43" s="13">
        <f>('TUSD BE'!$O$43+'TUSD BF'!$O$43+'TUSD CVA'!$O$43)*(1 - CUSTOS!$M$39)</f>
        <v>0</v>
      </c>
      <c r="P43" s="13">
        <f>('TUSD BE'!$P$43+'TUSD BF'!$P$43+'TUSD CVA'!$P$43)*(1 - CUSTOS!$M$39)</f>
        <v>0</v>
      </c>
      <c r="Q43" s="13">
        <f>('TUSD BE'!$Q$43+'TUSD BF'!$Q$43+'TUSD CVA'!$Q$43)*(1 - CUSTOS!$M$39)</f>
        <v>79.002423630170284</v>
      </c>
      <c r="R43" s="13">
        <f>('TUSD BE'!$R$43+'TUSD BF'!$R$43+'TUSD CVA'!$R$43)*(1 - CUSTOS!$M$39)</f>
        <v>12.455145781304321</v>
      </c>
      <c r="S43" s="13">
        <f>('TUSD BE'!$S$43+'TUSD BF'!$S$43+'TUSD CVA'!$S$43)*(1 - CUSTOS!$M$39)</f>
        <v>0</v>
      </c>
      <c r="T43" s="13">
        <f>('TUSD BE'!$U$43+'TUSD BF'!$U$43+'TUSD CVA'!$U$43)*(1 - CUSTOS!$M$39)</f>
        <v>0</v>
      </c>
      <c r="U43" s="13">
        <f>('TUSD BE'!$V$43+'TUSD BF'!$V$43+'TUSD CVA'!$V$43)*(1 - CUSTOS!$M$39)</f>
        <v>0</v>
      </c>
      <c r="V43" s="13">
        <f>('TUSD BE'!$W$43+'TUSD BF'!$W$43+'TUSD CVA'!$W$43)*(1 - CUSTOS!$M$39)</f>
        <v>0</v>
      </c>
      <c r="W43" s="13">
        <f>('TUSD BE'!$X$43+'TUSD BF'!$X$43+'TUSD CVA'!$X$43)*(1 - CUSTOS!$M$39)</f>
        <v>0</v>
      </c>
      <c r="X43" s="13">
        <f>('TUSD BE'!$Y$43+'TUSD BF'!$Y$43+'TUSD CVA'!$Y$43)*(1 - CUSTOS!$M$39)</f>
        <v>95.256331496620689</v>
      </c>
      <c r="Y43" s="13">
        <f>('TUSD BE'!$Z$43+'TUSD BF'!$Z$43+'TUSD CVA'!$Z$43)*(1 - CUSTOS!$M$39)</f>
        <v>0</v>
      </c>
      <c r="Z43" s="13">
        <f>('TUSD BE'!$AA$43+'TUSD BF'!$AA$43+'TUSD CVA'!$AA$43)*(1 - CUSTOS!$M$39)</f>
        <v>0</v>
      </c>
      <c r="AA43" s="13">
        <f>('TUSD BE'!$AC$43+'TUSD BF'!$AC$43+'TUSD CVA'!$AC$43)*(1 - CUSTOS!$M$39)</f>
        <v>88.182156594917018</v>
      </c>
      <c r="AB43" s="13">
        <f ca="1">('TUSD BE'!$AE$43+'TUSD BF'!$AE$43+'TUSD CVA'!$AE$43)*(1 - CUSTOS!$M$39)</f>
        <v>0</v>
      </c>
      <c r="AC43" s="13">
        <f ca="1">('TUSD BE'!$AF$43+'TUSD BF'!$AF$43+'TUSD CVA'!$AF$43)*(1 - CUSTOS!$M$39)</f>
        <v>0</v>
      </c>
      <c r="AD43" s="13">
        <f>('TUSD BE'!$AH$43+'TUSD BF'!$AH$43+'TUSD CVA'!$AH$43)*(1 - CUSTOS!$M$39)</f>
        <v>17.044001164071101</v>
      </c>
      <c r="AE43" s="13">
        <f>('TUSD BE'!$AI$43+'TUSD BF'!$AI$43+'TUSD CVA'!$AI$43)*(1 - CUSTOS!$M$39)</f>
        <v>0</v>
      </c>
      <c r="AF43" s="13">
        <f ca="1">('TUSD BE'!$AJ$43+'TUSD BF'!$AJ$43+'TUSD CVA'!$AJ$43)*(1 - CUSTOS!$M$39)</f>
        <v>0</v>
      </c>
      <c r="AG43" s="13">
        <f ca="1">('TUSD BE'!$AK$43+'TUSD BF'!$AK$43+'TUSD CVA'!$AK$43)*(1 - CUSTOS!$M$39)</f>
        <v>0</v>
      </c>
      <c r="AI43" s="13">
        <v>0</v>
      </c>
      <c r="AJ43" s="13">
        <v>0.87694063884336804</v>
      </c>
      <c r="AK43" s="13">
        <v>0</v>
      </c>
      <c r="AL43" s="13">
        <v>0</v>
      </c>
      <c r="AM43" s="13">
        <v>0</v>
      </c>
      <c r="AN43" s="13">
        <v>62.242875162526602</v>
      </c>
      <c r="AO43" s="13">
        <v>9.4473270661662099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86.795712490747704</v>
      </c>
      <c r="AV43" s="13">
        <v>0</v>
      </c>
      <c r="AW43" s="13">
        <v>0</v>
      </c>
      <c r="AX43" s="13">
        <v>85.072008785627204</v>
      </c>
      <c r="AY43" s="13">
        <v>0</v>
      </c>
      <c r="AZ43" s="13">
        <v>0</v>
      </c>
      <c r="BA43" s="13">
        <v>22.773144555364599</v>
      </c>
      <c r="BB43" s="13">
        <v>0</v>
      </c>
      <c r="BC43" s="13">
        <v>0</v>
      </c>
      <c r="BD43" s="13">
        <v>0</v>
      </c>
    </row>
    <row r="44" spans="1:56" ht="11.25" customHeight="1" x14ac:dyDescent="0.3">
      <c r="A44" s="91"/>
      <c r="B44" s="91"/>
      <c r="C44" s="91"/>
      <c r="D44" s="17" t="s">
        <v>86</v>
      </c>
      <c r="E44" s="17" t="s">
        <v>25</v>
      </c>
      <c r="F44" s="17" t="s">
        <v>25</v>
      </c>
      <c r="G44" s="18" t="s">
        <v>74</v>
      </c>
      <c r="H44" s="18" t="s">
        <v>68</v>
      </c>
      <c r="I44" s="18">
        <f>'MERCADO TUSD'!$U$41</f>
        <v>0</v>
      </c>
      <c r="J44" s="15"/>
      <c r="L44" s="13">
        <f>('TUSD BE'!$L$44+'TUSD BF'!$L$44+'TUSD CVA'!$L$44)*(1 - CUSTOS!$M$40)</f>
        <v>0</v>
      </c>
      <c r="M44" s="13">
        <f>('TUSD BE'!$M$44+'TUSD BF'!$M$44+'TUSD CVA'!$M$44)*(1 - CUSTOS!$M$40)</f>
        <v>0.72999429939780625</v>
      </c>
      <c r="N44" s="13">
        <f ca="1">('TUSD BE'!$N$44+'TUSD BF'!$N$44+'TUSD CVA'!$N$44)*(1 - CUSTOS!$M$40)</f>
        <v>0</v>
      </c>
      <c r="O44" s="13">
        <f>('TUSD BE'!$O$44+'TUSD BF'!$O$44+'TUSD CVA'!$O$44)*(1 - CUSTOS!$M$40)</f>
        <v>0</v>
      </c>
      <c r="P44" s="13">
        <f>('TUSD BE'!$P$44+'TUSD BF'!$P$44+'TUSD CVA'!$P$44)*(1 - CUSTOS!$M$40)</f>
        <v>0</v>
      </c>
      <c r="Q44" s="13">
        <f>('TUSD BE'!$Q$44+'TUSD BF'!$Q$44+'TUSD CVA'!$Q$44)*(1 - CUSTOS!$M$40)</f>
        <v>77.321520999741125</v>
      </c>
      <c r="R44" s="13">
        <f>('TUSD BE'!$R$44+'TUSD BF'!$R$44+'TUSD CVA'!$R$44)*(1 - CUSTOS!$M$40)</f>
        <v>12.190142679574443</v>
      </c>
      <c r="S44" s="13">
        <f>('TUSD BE'!$S$44+'TUSD BF'!$S$44+'TUSD CVA'!$S$44)*(1 - CUSTOS!$M$40)</f>
        <v>0</v>
      </c>
      <c r="T44" s="13">
        <f>('TUSD BE'!$U$44+'TUSD BF'!$U$44+'TUSD CVA'!$U$44)*(1 - CUSTOS!$M$40)</f>
        <v>0</v>
      </c>
      <c r="U44" s="13">
        <f>('TUSD BE'!$V$44+'TUSD BF'!$V$44+'TUSD CVA'!$V$44)*(1 - CUSTOS!$M$40)</f>
        <v>0</v>
      </c>
      <c r="V44" s="13">
        <f>('TUSD BE'!$W$44+'TUSD BF'!$W$44+'TUSD CVA'!$W$44)*(1 - CUSTOS!$M$40)</f>
        <v>0</v>
      </c>
      <c r="W44" s="13">
        <f>('TUSD BE'!$X$44+'TUSD BF'!$X$44+'TUSD CVA'!$X$44)*(1 - CUSTOS!$M$40)</f>
        <v>0</v>
      </c>
      <c r="X44" s="13">
        <f>('TUSD BE'!$Y$44+'TUSD BF'!$Y$44+'TUSD CVA'!$Y$44)*(1 - CUSTOS!$M$40)</f>
        <v>93.229601039245793</v>
      </c>
      <c r="Y44" s="13">
        <f>('TUSD BE'!$Z$44+'TUSD BF'!$Z$44+'TUSD CVA'!$Z$44)*(1 - CUSTOS!$M$40)</f>
        <v>0</v>
      </c>
      <c r="Z44" s="13">
        <f>('TUSD BE'!$AA$44+'TUSD BF'!$AA$44+'TUSD CVA'!$AA$44)*(1 - CUSTOS!$M$40)</f>
        <v>0</v>
      </c>
      <c r="AA44" s="13">
        <f>('TUSD BE'!$AC$44+'TUSD BF'!$AC$44+'TUSD CVA'!$AC$44)*(1 - CUSTOS!$M$40)</f>
        <v>86.305940497152832</v>
      </c>
      <c r="AB44" s="13">
        <f ca="1">('TUSD BE'!$AE$44+'TUSD BF'!$AE$44+'TUSD CVA'!$AE$44)*(1 - CUSTOS!$M$40)</f>
        <v>0</v>
      </c>
      <c r="AC44" s="13">
        <f ca="1">('TUSD BE'!$AF$44+'TUSD BF'!$AF$44+'TUSD CVA'!$AF$44)*(1 - CUSTOS!$M$40)</f>
        <v>0</v>
      </c>
      <c r="AD44" s="13">
        <f>('TUSD BE'!$AH$44+'TUSD BF'!$AH$44+'TUSD CVA'!$AH$44)*(1 - CUSTOS!$M$40)</f>
        <v>16.681362841431294</v>
      </c>
      <c r="AE44" s="13">
        <f>('TUSD BE'!$AI$44+'TUSD BF'!$AI$44+'TUSD CVA'!$AI$44)*(1 - CUSTOS!$M$40)</f>
        <v>0</v>
      </c>
      <c r="AF44" s="13">
        <f ca="1">('TUSD BE'!$AJ$44+'TUSD BF'!$AJ$44+'TUSD CVA'!$AJ$44)*(1 - CUSTOS!$M$40)</f>
        <v>0</v>
      </c>
      <c r="AG44" s="13">
        <f ca="1">('TUSD BE'!$AK$44+'TUSD BF'!$AK$44+'TUSD CVA'!$AK$44)*(1 - CUSTOS!$M$40)</f>
        <v>0</v>
      </c>
      <c r="AI44" s="13">
        <v>0</v>
      </c>
      <c r="AJ44" s="13">
        <v>0.83707970071412396</v>
      </c>
      <c r="AK44" s="13">
        <v>0</v>
      </c>
      <c r="AL44" s="13">
        <v>0</v>
      </c>
      <c r="AM44" s="13">
        <v>0</v>
      </c>
      <c r="AN44" s="13">
        <v>59.413653564229897</v>
      </c>
      <c r="AO44" s="13">
        <v>9.0179031086132007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82.850452832077295</v>
      </c>
      <c r="AV44" s="13">
        <v>0</v>
      </c>
      <c r="AW44" s="13">
        <v>0</v>
      </c>
      <c r="AX44" s="13">
        <v>81.205099295371397</v>
      </c>
      <c r="AY44" s="13">
        <v>0</v>
      </c>
      <c r="AZ44" s="13">
        <v>0</v>
      </c>
      <c r="BA44" s="13">
        <v>21.738001621029799</v>
      </c>
      <c r="BB44" s="13">
        <v>0</v>
      </c>
      <c r="BC44" s="13">
        <v>0</v>
      </c>
      <c r="BD44" s="13">
        <v>0</v>
      </c>
    </row>
    <row r="45" spans="1:56" ht="11.25" customHeight="1" x14ac:dyDescent="0.3">
      <c r="A45" s="91" t="s">
        <v>31</v>
      </c>
      <c r="B45" s="91" t="s">
        <v>82</v>
      </c>
      <c r="C45" s="91" t="s">
        <v>25</v>
      </c>
      <c r="D45" s="91" t="s">
        <v>25</v>
      </c>
      <c r="E45" s="91" t="s">
        <v>25</v>
      </c>
      <c r="F45" s="91" t="s">
        <v>25</v>
      </c>
      <c r="G45" s="18" t="s">
        <v>69</v>
      </c>
      <c r="H45" s="18" t="s">
        <v>68</v>
      </c>
      <c r="I45" s="18">
        <f>'MERCADO TUSD'!$U$42</f>
        <v>0</v>
      </c>
      <c r="J45" s="15"/>
      <c r="L45" s="13">
        <f>('TUSD BE'!$L$45+'TUSD BF'!$L$45+'TUSD CVA'!$L$45)*1</f>
        <v>0</v>
      </c>
      <c r="M45" s="13">
        <f>('TUSD BE'!$M$45+'TUSD BF'!$M$45+'TUSD CVA'!$M$45)*1</f>
        <v>0.79347206456283281</v>
      </c>
      <c r="N45" s="13">
        <f ca="1">('TUSD BE'!$N$45+'TUSD BF'!$N$45+'TUSD CVA'!$N$45)*1</f>
        <v>0</v>
      </c>
      <c r="O45" s="13">
        <f>('TUSD BE'!$O$45+'TUSD BF'!$O$45+'TUSD CVA'!$O$45)*1</f>
        <v>0</v>
      </c>
      <c r="P45" s="13">
        <f>('TUSD BE'!$P$45+'TUSD BF'!$P$45+'TUSD CVA'!$P$45)*1</f>
        <v>0</v>
      </c>
      <c r="Q45" s="13">
        <f>('TUSD BE'!$Q$45+'TUSD BF'!$Q$45+'TUSD CVA'!$Q$45)*1</f>
        <v>84.045131521457748</v>
      </c>
      <c r="R45" s="13">
        <f>('TUSD BE'!$R$45+'TUSD BF'!$R$45+'TUSD CVA'!$R$45)*1</f>
        <v>13.250155086493958</v>
      </c>
      <c r="S45" s="13">
        <f>('TUSD BE'!$S$45+'TUSD BF'!$S$45+'TUSD CVA'!$S$45)*1</f>
        <v>0</v>
      </c>
      <c r="T45" s="13">
        <f>('TUSD BE'!$U$45+'TUSD BF'!$U$45+'TUSD CVA'!$U$45)*1</f>
        <v>0</v>
      </c>
      <c r="U45" s="13">
        <f>('TUSD BE'!$V$45+'TUSD BF'!$V$45+'TUSD CVA'!$V$45)*1</f>
        <v>0</v>
      </c>
      <c r="V45" s="13">
        <f>('TUSD BE'!$W$45+'TUSD BF'!$W$45+'TUSD CVA'!$W$45)*1</f>
        <v>0</v>
      </c>
      <c r="W45" s="13">
        <f>('TUSD BE'!$X$45+'TUSD BF'!$X$45+'TUSD CVA'!$X$45)*1</f>
        <v>0</v>
      </c>
      <c r="X45" s="13">
        <f>('TUSD BE'!$Y$45+'TUSD BF'!$Y$45+'TUSD CVA'!$Y$45)*1</f>
        <v>349.69840120015135</v>
      </c>
      <c r="Y45" s="13">
        <f>('TUSD BE'!$Z$45+'TUSD BF'!$Z$45+'TUSD CVA'!$Z$45)*1</f>
        <v>0</v>
      </c>
      <c r="Z45" s="13">
        <f>('TUSD BE'!$AA$45+'TUSD BF'!$AA$45+'TUSD CVA'!$AA$45)*1</f>
        <v>0</v>
      </c>
      <c r="AA45" s="13">
        <f>('TUSD BE'!$AC$45+'TUSD BF'!$AC$45+'TUSD CVA'!$AC$45)*1</f>
        <v>323.64720186997511</v>
      </c>
      <c r="AB45" s="13">
        <f ca="1">('TUSD BE'!$AE$45+'TUSD BF'!$AE$45+'TUSD CVA'!$AE$45)*1</f>
        <v>0</v>
      </c>
      <c r="AC45" s="13">
        <f ca="1">('TUSD BE'!$AF$45+'TUSD BF'!$AF$45+'TUSD CVA'!$AF$45)*1</f>
        <v>0</v>
      </c>
      <c r="AD45" s="13">
        <f>('TUSD BE'!$AH$45+'TUSD BF'!$AH$45+'TUSD CVA'!$AH$45)*1</f>
        <v>18.131916131990536</v>
      </c>
      <c r="AE45" s="13">
        <f>('TUSD BE'!$AI$45+'TUSD BF'!$AI$45+'TUSD CVA'!$AI$45)*1</f>
        <v>0</v>
      </c>
      <c r="AF45" s="13">
        <f ca="1">('TUSD BE'!$AJ$45+'TUSD BF'!$AJ$45+'TUSD CVA'!$AJ$45)*1</f>
        <v>0</v>
      </c>
      <c r="AG45" s="13">
        <f ca="1">('TUSD BE'!$AK$45+'TUSD BF'!$AK$45+'TUSD CVA'!$AK$45)*1</f>
        <v>0</v>
      </c>
      <c r="AI45" s="13">
        <v>0</v>
      </c>
      <c r="AJ45" s="13">
        <v>0.99652345323110003</v>
      </c>
      <c r="AK45" s="13">
        <v>0</v>
      </c>
      <c r="AL45" s="13">
        <v>0</v>
      </c>
      <c r="AM45" s="13">
        <v>0</v>
      </c>
      <c r="AN45" s="13">
        <v>70.730539957416596</v>
      </c>
      <c r="AO45" s="13">
        <v>10.7355989388252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340.36371839038299</v>
      </c>
      <c r="AV45" s="13">
        <v>0</v>
      </c>
      <c r="AW45" s="13">
        <v>0</v>
      </c>
      <c r="AX45" s="13">
        <v>333.52084334341401</v>
      </c>
      <c r="AY45" s="13">
        <v>0</v>
      </c>
      <c r="AZ45" s="13">
        <v>0</v>
      </c>
      <c r="BA45" s="13">
        <v>25.8785733583689</v>
      </c>
      <c r="BB45" s="13">
        <v>0</v>
      </c>
      <c r="BC45" s="13">
        <v>0</v>
      </c>
      <c r="BD45" s="13">
        <v>0</v>
      </c>
    </row>
    <row r="46" spans="1:56" ht="11.25" customHeight="1" x14ac:dyDescent="0.3">
      <c r="A46" s="91"/>
      <c r="B46" s="91"/>
      <c r="C46" s="91"/>
      <c r="D46" s="91"/>
      <c r="E46" s="91"/>
      <c r="F46" s="91"/>
      <c r="G46" s="18" t="s">
        <v>80</v>
      </c>
      <c r="H46" s="18" t="s">
        <v>68</v>
      </c>
      <c r="I46" s="18">
        <f>'MERCADO TUSD'!$U$43</f>
        <v>0</v>
      </c>
      <c r="J46" s="15"/>
      <c r="L46" s="13">
        <f>('TUSD BE'!$L$46+'TUSD BF'!$L$46+'TUSD CVA'!$L$46)*1</f>
        <v>0</v>
      </c>
      <c r="M46" s="13">
        <f>('TUSD BE'!$M$46+'TUSD BF'!$M$46+'TUSD CVA'!$M$46)*1</f>
        <v>0.79347206456283281</v>
      </c>
      <c r="N46" s="13">
        <f ca="1">('TUSD BE'!$N$46+'TUSD BF'!$N$46+'TUSD CVA'!$N$46)*1</f>
        <v>0</v>
      </c>
      <c r="O46" s="13">
        <f>('TUSD BE'!$O$46+'TUSD BF'!$O$46+'TUSD CVA'!$O$46)*1</f>
        <v>0</v>
      </c>
      <c r="P46" s="13">
        <f>('TUSD BE'!$P$46+'TUSD BF'!$P$46+'TUSD CVA'!$P$46)*1</f>
        <v>0</v>
      </c>
      <c r="Q46" s="13">
        <f>('TUSD BE'!$Q$46+'TUSD BF'!$Q$46+'TUSD CVA'!$Q$46)*1</f>
        <v>84.045131521457748</v>
      </c>
      <c r="R46" s="13">
        <f>('TUSD BE'!$R$46+'TUSD BF'!$R$46+'TUSD CVA'!$R$46)*1</f>
        <v>13.250155086493958</v>
      </c>
      <c r="S46" s="13">
        <f>('TUSD BE'!$S$46+'TUSD BF'!$S$46+'TUSD CVA'!$S$46)*1</f>
        <v>0</v>
      </c>
      <c r="T46" s="13">
        <f>('TUSD BE'!$U$46+'TUSD BF'!$U$46+'TUSD CVA'!$U$46)*1</f>
        <v>0</v>
      </c>
      <c r="U46" s="13">
        <f>('TUSD BE'!$V$46+'TUSD BF'!$V$46+'TUSD CVA'!$V$46)*1</f>
        <v>0</v>
      </c>
      <c r="V46" s="13">
        <f>('TUSD BE'!$W$46+'TUSD BF'!$W$46+'TUSD CVA'!$W$46)*1</f>
        <v>0</v>
      </c>
      <c r="W46" s="13">
        <f>('TUSD BE'!$X$46+'TUSD BF'!$X$46+'TUSD CVA'!$X$46)*1</f>
        <v>0</v>
      </c>
      <c r="X46" s="13">
        <f>('TUSD BE'!$Y$46+'TUSD BF'!$Y$46+'TUSD CVA'!$Y$46)*1</f>
        <v>209.77901484531702</v>
      </c>
      <c r="Y46" s="13">
        <f>('TUSD BE'!$Z$46+'TUSD BF'!$Z$46+'TUSD CVA'!$Z$46)*1</f>
        <v>0</v>
      </c>
      <c r="Z46" s="13">
        <f>('TUSD BE'!$AA$46+'TUSD BF'!$AA$46+'TUSD CVA'!$AA$46)*1</f>
        <v>0</v>
      </c>
      <c r="AA46" s="13">
        <f>('TUSD BE'!$AC$46+'TUSD BF'!$AC$46+'TUSD CVA'!$AC$46)*1</f>
        <v>194.18830237339807</v>
      </c>
      <c r="AB46" s="13">
        <f ca="1">('TUSD BE'!$AE$46+'TUSD BF'!$AE$46+'TUSD CVA'!$AE$46)*1</f>
        <v>0</v>
      </c>
      <c r="AC46" s="13">
        <f ca="1">('TUSD BE'!$AF$46+'TUSD BF'!$AF$46+'TUSD CVA'!$AF$46)*1</f>
        <v>0</v>
      </c>
      <c r="AD46" s="13">
        <f>('TUSD BE'!$AH$46+'TUSD BF'!$AH$46+'TUSD CVA'!$AH$46)*1</f>
        <v>18.131916131990536</v>
      </c>
      <c r="AE46" s="13">
        <f>('TUSD BE'!$AI$46+'TUSD BF'!$AI$46+'TUSD CVA'!$AI$46)*1</f>
        <v>0</v>
      </c>
      <c r="AF46" s="13">
        <f ca="1">('TUSD BE'!$AJ$46+'TUSD BF'!$AJ$46+'TUSD CVA'!$AJ$46)*1</f>
        <v>0</v>
      </c>
      <c r="AG46" s="13">
        <f ca="1">('TUSD BE'!$AK$46+'TUSD BF'!$AK$46+'TUSD CVA'!$AK$46)*1</f>
        <v>0</v>
      </c>
      <c r="AI46" s="13">
        <v>0</v>
      </c>
      <c r="AJ46" s="13">
        <v>0.99652345323110003</v>
      </c>
      <c r="AK46" s="13">
        <v>0</v>
      </c>
      <c r="AL46" s="13">
        <v>0</v>
      </c>
      <c r="AM46" s="13">
        <v>0</v>
      </c>
      <c r="AN46" s="13">
        <v>70.730539957416596</v>
      </c>
      <c r="AO46" s="13">
        <v>10.7355989388252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204.179216486549</v>
      </c>
      <c r="AV46" s="13">
        <v>0</v>
      </c>
      <c r="AW46" s="13">
        <v>0</v>
      </c>
      <c r="AX46" s="13">
        <v>200.11250600604899</v>
      </c>
      <c r="AY46" s="13">
        <v>0</v>
      </c>
      <c r="AZ46" s="13">
        <v>0</v>
      </c>
      <c r="BA46" s="13">
        <v>25.8785733583689</v>
      </c>
      <c r="BB46" s="13">
        <v>0</v>
      </c>
      <c r="BC46" s="13">
        <v>0</v>
      </c>
      <c r="BD46" s="13">
        <v>0</v>
      </c>
    </row>
    <row r="47" spans="1:56" ht="11.25" customHeight="1" x14ac:dyDescent="0.3">
      <c r="A47" s="91"/>
      <c r="B47" s="91"/>
      <c r="C47" s="91"/>
      <c r="D47" s="91"/>
      <c r="E47" s="91"/>
      <c r="F47" s="91"/>
      <c r="G47" s="18" t="s">
        <v>70</v>
      </c>
      <c r="H47" s="18" t="s">
        <v>68</v>
      </c>
      <c r="I47" s="18">
        <f>'MERCADO TUSD'!$U$44</f>
        <v>0</v>
      </c>
      <c r="J47" s="15"/>
      <c r="L47" s="13">
        <f>('TUSD BE'!$L$47+'TUSD BF'!$L$47+'TUSD CVA'!$L$47)*1</f>
        <v>0</v>
      </c>
      <c r="M47" s="13">
        <f>('TUSD BE'!$M$47+'TUSD BF'!$M$47+'TUSD CVA'!$M$47)*1</f>
        <v>0.79347206456283281</v>
      </c>
      <c r="N47" s="13">
        <f ca="1">('TUSD BE'!$N$47+'TUSD BF'!$N$47+'TUSD CVA'!$N$47)*1</f>
        <v>0</v>
      </c>
      <c r="O47" s="13">
        <f>('TUSD BE'!$O$47+'TUSD BF'!$O$47+'TUSD CVA'!$O$47)*1</f>
        <v>0</v>
      </c>
      <c r="P47" s="13">
        <f>('TUSD BE'!$P$47+'TUSD BF'!$P$47+'TUSD CVA'!$P$47)*1</f>
        <v>0</v>
      </c>
      <c r="Q47" s="13">
        <f>('TUSD BE'!$Q$47+'TUSD BF'!$Q$47+'TUSD CVA'!$Q$47)*1</f>
        <v>84.045131521457748</v>
      </c>
      <c r="R47" s="13">
        <f>('TUSD BE'!$R$47+'TUSD BF'!$R$47+'TUSD CVA'!$R$47)*1</f>
        <v>13.250155086493958</v>
      </c>
      <c r="S47" s="13">
        <f>('TUSD BE'!$S$47+'TUSD BF'!$S$47+'TUSD CVA'!$S$47)*1</f>
        <v>0</v>
      </c>
      <c r="T47" s="13">
        <f>('TUSD BE'!$U$47+'TUSD BF'!$U$47+'TUSD CVA'!$U$47)*1</f>
        <v>0</v>
      </c>
      <c r="U47" s="13">
        <f>('TUSD BE'!$V$47+'TUSD BF'!$V$47+'TUSD CVA'!$V$47)*1</f>
        <v>0</v>
      </c>
      <c r="V47" s="13">
        <f>('TUSD BE'!$W$47+'TUSD BF'!$W$47+'TUSD CVA'!$W$47)*1</f>
        <v>0</v>
      </c>
      <c r="W47" s="13">
        <f>('TUSD BE'!$X$47+'TUSD BF'!$X$47+'TUSD CVA'!$X$47)*1</f>
        <v>0</v>
      </c>
      <c r="X47" s="13">
        <f>('TUSD BE'!$Y$47+'TUSD BF'!$Y$47+'TUSD CVA'!$Y$47)*1</f>
        <v>69.909584370867719</v>
      </c>
      <c r="Y47" s="13">
        <f>('TUSD BE'!$Z$47+'TUSD BF'!$Z$47+'TUSD CVA'!$Z$47)*1</f>
        <v>0</v>
      </c>
      <c r="Z47" s="13">
        <f>('TUSD BE'!$AA$47+'TUSD BF'!$AA$47+'TUSD CVA'!$AA$47)*1</f>
        <v>0</v>
      </c>
      <c r="AA47" s="13">
        <f>('TUSD BE'!$AC$47+'TUSD BF'!$AC$47+'TUSD CVA'!$AC$47)*1</f>
        <v>64.72949661975602</v>
      </c>
      <c r="AB47" s="13">
        <f ca="1">('TUSD BE'!$AE$47+'TUSD BF'!$AE$47+'TUSD CVA'!$AE$47)*1</f>
        <v>0</v>
      </c>
      <c r="AC47" s="13">
        <f ca="1">('TUSD BE'!$AF$47+'TUSD BF'!$AF$47+'TUSD CVA'!$AF$47)*1</f>
        <v>0</v>
      </c>
      <c r="AD47" s="13">
        <f>('TUSD BE'!$AH$47+'TUSD BF'!$AH$47+'TUSD CVA'!$AH$47)*1</f>
        <v>18.131916131990536</v>
      </c>
      <c r="AE47" s="13">
        <f>('TUSD BE'!$AI$47+'TUSD BF'!$AI$47+'TUSD CVA'!$AI$47)*1</f>
        <v>0</v>
      </c>
      <c r="AF47" s="13">
        <f ca="1">('TUSD BE'!$AJ$47+'TUSD BF'!$AJ$47+'TUSD CVA'!$AJ$47)*1</f>
        <v>0</v>
      </c>
      <c r="AG47" s="13">
        <f ca="1">('TUSD BE'!$AK$47+'TUSD BF'!$AK$47+'TUSD CVA'!$AK$47)*1</f>
        <v>0</v>
      </c>
      <c r="AI47" s="13">
        <v>0</v>
      </c>
      <c r="AJ47" s="13">
        <v>0.99652345323110003</v>
      </c>
      <c r="AK47" s="13">
        <v>0</v>
      </c>
      <c r="AL47" s="13">
        <v>0</v>
      </c>
      <c r="AM47" s="13">
        <v>0</v>
      </c>
      <c r="AN47" s="13">
        <v>70.730539957416596</v>
      </c>
      <c r="AO47" s="13">
        <v>10.7355989388252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68.043482767315993</v>
      </c>
      <c r="AV47" s="13">
        <v>0</v>
      </c>
      <c r="AW47" s="13">
        <v>0</v>
      </c>
      <c r="AX47" s="13">
        <v>66.704229390590001</v>
      </c>
      <c r="AY47" s="13">
        <v>0</v>
      </c>
      <c r="AZ47" s="13">
        <v>0</v>
      </c>
      <c r="BA47" s="13">
        <v>25.8785733583689</v>
      </c>
      <c r="BB47" s="13">
        <v>0</v>
      </c>
      <c r="BC47" s="13">
        <v>0</v>
      </c>
      <c r="BD47" s="13">
        <v>0</v>
      </c>
    </row>
    <row r="48" spans="1:56" ht="11.25" customHeight="1" x14ac:dyDescent="0.3">
      <c r="A48" s="91"/>
      <c r="B48" s="17" t="s">
        <v>23</v>
      </c>
      <c r="C48" s="17" t="s">
        <v>25</v>
      </c>
      <c r="D48" s="17" t="s">
        <v>25</v>
      </c>
      <c r="E48" s="17" t="s">
        <v>25</v>
      </c>
      <c r="F48" s="17" t="s">
        <v>25</v>
      </c>
      <c r="G48" s="18" t="s">
        <v>74</v>
      </c>
      <c r="H48" s="18" t="s">
        <v>68</v>
      </c>
      <c r="I48" s="18">
        <f>'MERCADO TUSD'!$U$45</f>
        <v>321.71000000000004</v>
      </c>
      <c r="J48" s="15"/>
      <c r="L48" s="13">
        <f>('TUSD BE'!$L$48+'TUSD BF'!$L$48+'TUSD CVA'!$L$48)*1</f>
        <v>0</v>
      </c>
      <c r="M48" s="13">
        <f>('TUSD BE'!$M$48+'TUSD BF'!$M$48+'TUSD CVA'!$M$48)*1</f>
        <v>0.79347206456283281</v>
      </c>
      <c r="N48" s="13">
        <f ca="1">('TUSD BE'!$N$48+'TUSD BF'!$N$48+'TUSD CVA'!$N$48)*1</f>
        <v>0</v>
      </c>
      <c r="O48" s="13">
        <f>('TUSD BE'!$O$48+'TUSD BF'!$O$48+'TUSD CVA'!$O$48)*1</f>
        <v>0</v>
      </c>
      <c r="P48" s="13">
        <f>('TUSD BE'!$P$48+'TUSD BF'!$P$48+'TUSD CVA'!$P$48)*1</f>
        <v>0</v>
      </c>
      <c r="Q48" s="13">
        <f>('TUSD BE'!$Q$48+'TUSD BF'!$Q$48+'TUSD CVA'!$Q$48)*1</f>
        <v>84.045131521457748</v>
      </c>
      <c r="R48" s="13">
        <f>('TUSD BE'!$R$48+'TUSD BF'!$R$48+'TUSD CVA'!$R$48)*1</f>
        <v>13.250155086493958</v>
      </c>
      <c r="S48" s="13">
        <f>('TUSD BE'!$S$48+'TUSD BF'!$S$48+'TUSD CVA'!$S$48)*1</f>
        <v>0</v>
      </c>
      <c r="T48" s="13">
        <f>('TUSD BE'!$U$48+'TUSD BF'!$U$48+'TUSD CVA'!$U$48)*1</f>
        <v>0</v>
      </c>
      <c r="U48" s="13">
        <f>('TUSD BE'!$V$48+'TUSD BF'!$V$48+'TUSD CVA'!$V$48)*1</f>
        <v>0</v>
      </c>
      <c r="V48" s="13">
        <f>('TUSD BE'!$W$48+'TUSD BF'!$W$48+'TUSD CVA'!$W$48)*1</f>
        <v>0</v>
      </c>
      <c r="W48" s="13">
        <f>('TUSD BE'!$X$48+'TUSD BF'!$X$48+'TUSD CVA'!$X$48)*1</f>
        <v>0</v>
      </c>
      <c r="X48" s="13">
        <f>('TUSD BE'!$Y$48+'TUSD BF'!$Y$48+'TUSD CVA'!$Y$48)*1</f>
        <v>101.33652286874542</v>
      </c>
      <c r="Y48" s="13">
        <f>('TUSD BE'!$Z$48+'TUSD BF'!$Z$48+'TUSD CVA'!$Z$48)*1</f>
        <v>0</v>
      </c>
      <c r="Z48" s="13">
        <f>('TUSD BE'!$AA$48+'TUSD BF'!$AA$48+'TUSD CVA'!$AA$48)*1</f>
        <v>0</v>
      </c>
      <c r="AA48" s="13">
        <f>('TUSD BE'!$AC$48+'TUSD BF'!$AC$48+'TUSD CVA'!$AC$48)*1</f>
        <v>93.810804888209603</v>
      </c>
      <c r="AB48" s="13">
        <f ca="1">('TUSD BE'!$AE$48+'TUSD BF'!$AE$48+'TUSD CVA'!$AE$48)*1</f>
        <v>0</v>
      </c>
      <c r="AC48" s="13">
        <f ca="1">('TUSD BE'!$AF$48+'TUSD BF'!$AF$48+'TUSD CVA'!$AF$48)*1</f>
        <v>0</v>
      </c>
      <c r="AD48" s="13">
        <f>('TUSD BE'!$AH$48+'TUSD BF'!$AH$48+'TUSD CVA'!$AH$48)*1</f>
        <v>18.131916131990536</v>
      </c>
      <c r="AE48" s="13">
        <f>('TUSD BE'!$AI$48+'TUSD BF'!$AI$48+'TUSD CVA'!$AI$48)*1</f>
        <v>0</v>
      </c>
      <c r="AF48" s="13">
        <f ca="1">('TUSD BE'!$AJ$48+'TUSD BF'!$AJ$48+'TUSD CVA'!$AJ$48)*1</f>
        <v>0</v>
      </c>
      <c r="AG48" s="13">
        <f ca="1">('TUSD BE'!$AK$48+'TUSD BF'!$AK$48+'TUSD CVA'!$AK$48)*1</f>
        <v>0</v>
      </c>
      <c r="AI48" s="13">
        <v>0</v>
      </c>
      <c r="AJ48" s="13">
        <v>0.99652345323110003</v>
      </c>
      <c r="AK48" s="13">
        <v>0</v>
      </c>
      <c r="AL48" s="13">
        <v>0</v>
      </c>
      <c r="AM48" s="13">
        <v>0</v>
      </c>
      <c r="AN48" s="13">
        <v>70.730539957416596</v>
      </c>
      <c r="AO48" s="13">
        <v>10.7355989388252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98.631491466758703</v>
      </c>
      <c r="AV48" s="13">
        <v>0</v>
      </c>
      <c r="AW48" s="13">
        <v>0</v>
      </c>
      <c r="AX48" s="13">
        <v>96.672737256394498</v>
      </c>
      <c r="AY48" s="13">
        <v>0</v>
      </c>
      <c r="AZ48" s="13">
        <v>0</v>
      </c>
      <c r="BA48" s="13">
        <v>25.8785733583689</v>
      </c>
      <c r="BB48" s="13">
        <v>0</v>
      </c>
      <c r="BC48" s="13">
        <v>0</v>
      </c>
      <c r="BD48" s="13">
        <v>0</v>
      </c>
    </row>
    <row r="49" spans="1:56" ht="11.25" customHeight="1" x14ac:dyDescent="0.3">
      <c r="A49" s="91"/>
      <c r="B49" s="17" t="s">
        <v>84</v>
      </c>
      <c r="C49" s="17" t="s">
        <v>25</v>
      </c>
      <c r="D49" s="17" t="s">
        <v>25</v>
      </c>
      <c r="E49" s="17" t="s">
        <v>25</v>
      </c>
      <c r="F49" s="17" t="s">
        <v>25</v>
      </c>
      <c r="G49" s="18" t="s">
        <v>74</v>
      </c>
      <c r="H49" s="18" t="s">
        <v>68</v>
      </c>
      <c r="I49" s="18">
        <f>'MERCADO TUSD'!$U$46</f>
        <v>0</v>
      </c>
      <c r="J49" s="15"/>
      <c r="L49" s="13">
        <f>('TUSD BE'!$L$49+'TUSD BF'!$L$49+'TUSD CVA'!$L$49)*1</f>
        <v>0</v>
      </c>
      <c r="M49" s="13">
        <f>('TUSD BE'!$M$49+'TUSD BF'!$M$49+'TUSD CVA'!$M$49)*1</f>
        <v>0.79347206456283281</v>
      </c>
      <c r="N49" s="13">
        <f ca="1">('TUSD BE'!$N$49+'TUSD BF'!$N$49+'TUSD CVA'!$N$49)*1</f>
        <v>0</v>
      </c>
      <c r="O49" s="13">
        <f>('TUSD BE'!$O$49+'TUSD BF'!$O$49+'TUSD CVA'!$O$49)*1</f>
        <v>0</v>
      </c>
      <c r="P49" s="13">
        <f>('TUSD BE'!$P$49+'TUSD BF'!$P$49+'TUSD CVA'!$P$49)*1</f>
        <v>0</v>
      </c>
      <c r="Q49" s="13">
        <f>('TUSD BE'!$Q$49+'TUSD BF'!$Q$49+'TUSD CVA'!$Q$49)*1</f>
        <v>84.045131521457748</v>
      </c>
      <c r="R49" s="13">
        <f>('TUSD BE'!$R$49+'TUSD BF'!$R$49+'TUSD CVA'!$R$49)*1</f>
        <v>13.250155086493958</v>
      </c>
      <c r="S49" s="13">
        <f>('TUSD BE'!$S$49+'TUSD BF'!$S$49+'TUSD CVA'!$S$49)*1</f>
        <v>0</v>
      </c>
      <c r="T49" s="13">
        <f>('TUSD BE'!$U$49+'TUSD BF'!$U$49+'TUSD CVA'!$U$49)*1</f>
        <v>0</v>
      </c>
      <c r="U49" s="13">
        <f>('TUSD BE'!$V$49+'TUSD BF'!$V$49+'TUSD CVA'!$V$49)*1</f>
        <v>0</v>
      </c>
      <c r="V49" s="13">
        <f>('TUSD BE'!$W$49+'TUSD BF'!$W$49+'TUSD CVA'!$W$49)*1</f>
        <v>0</v>
      </c>
      <c r="W49" s="13">
        <f>('TUSD BE'!$X$49+'TUSD BF'!$X$49+'TUSD CVA'!$X$49)*1</f>
        <v>0</v>
      </c>
      <c r="X49" s="13">
        <f>('TUSD BE'!$Y$49+'TUSD BF'!$Y$49+'TUSD CVA'!$Y$49)*1</f>
        <v>101.33652286874542</v>
      </c>
      <c r="Y49" s="13">
        <f>('TUSD BE'!$Z$49+'TUSD BF'!$Z$49+'TUSD CVA'!$Z$49)*1</f>
        <v>0</v>
      </c>
      <c r="Z49" s="13">
        <f>('TUSD BE'!$AA$49+'TUSD BF'!$AA$49+'TUSD CVA'!$AA$49)*1</f>
        <v>0</v>
      </c>
      <c r="AA49" s="13">
        <f>('TUSD BE'!$AC$49+'TUSD BF'!$AC$49+'TUSD CVA'!$AC$49)*1</f>
        <v>93.810804888209603</v>
      </c>
      <c r="AB49" s="13">
        <f ca="1">('TUSD BE'!$AE$49+'TUSD BF'!$AE$49+'TUSD CVA'!$AE$49)*1</f>
        <v>0</v>
      </c>
      <c r="AC49" s="13">
        <f ca="1">('TUSD BE'!$AF$49+'TUSD BF'!$AF$49+'TUSD CVA'!$AF$49)*1</f>
        <v>0</v>
      </c>
      <c r="AD49" s="13">
        <f>('TUSD BE'!$AH$49+'TUSD BF'!$AH$49+'TUSD CVA'!$AH$49)*1</f>
        <v>18.131916131990536</v>
      </c>
      <c r="AE49" s="13">
        <f>('TUSD BE'!$AI$49+'TUSD BF'!$AI$49+'TUSD CVA'!$AI$49)*1</f>
        <v>0</v>
      </c>
      <c r="AF49" s="13">
        <f ca="1">('TUSD BE'!$AJ$49+'TUSD BF'!$AJ$49+'TUSD CVA'!$AJ$49)*1</f>
        <v>0</v>
      </c>
      <c r="AG49" s="13">
        <f ca="1">('TUSD BE'!$AK$49+'TUSD BF'!$AK$49+'TUSD CVA'!$AK$49)*1</f>
        <v>0</v>
      </c>
      <c r="AI49" s="13">
        <v>0</v>
      </c>
      <c r="AJ49" s="13">
        <v>0.99652345323110003</v>
      </c>
      <c r="AK49" s="13">
        <v>0</v>
      </c>
      <c r="AL49" s="13">
        <v>0</v>
      </c>
      <c r="AM49" s="13">
        <v>0</v>
      </c>
      <c r="AN49" s="13">
        <v>70.730539957416596</v>
      </c>
      <c r="AO49" s="13">
        <v>10.7355989388252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98.631491466758703</v>
      </c>
      <c r="AV49" s="13">
        <v>0</v>
      </c>
      <c r="AW49" s="13">
        <v>0</v>
      </c>
      <c r="AX49" s="13">
        <v>96.672737256394498</v>
      </c>
      <c r="AY49" s="13">
        <v>0</v>
      </c>
      <c r="AZ49" s="13">
        <v>0</v>
      </c>
      <c r="BA49" s="13">
        <v>25.8785733583689</v>
      </c>
      <c r="BB49" s="13">
        <v>0</v>
      </c>
      <c r="BC49" s="13">
        <v>0</v>
      </c>
      <c r="BD49" s="13">
        <v>0</v>
      </c>
    </row>
    <row r="50" spans="1:56" ht="11.25" customHeight="1" x14ac:dyDescent="0.3">
      <c r="A50" s="91" t="s">
        <v>43</v>
      </c>
      <c r="B50" s="91" t="s">
        <v>23</v>
      </c>
      <c r="C50" s="91" t="s">
        <v>44</v>
      </c>
      <c r="D50" s="17" t="s">
        <v>45</v>
      </c>
      <c r="E50" s="17" t="s">
        <v>25</v>
      </c>
      <c r="F50" s="17" t="s">
        <v>25</v>
      </c>
      <c r="G50" s="18" t="s">
        <v>74</v>
      </c>
      <c r="H50" s="18" t="s">
        <v>68</v>
      </c>
      <c r="I50" s="18">
        <f>'MERCADO TUSD'!$U$47</f>
        <v>249.66400000000002</v>
      </c>
      <c r="J50" s="15"/>
      <c r="L50" s="13">
        <f>('TUSD BE'!$L$50+'TUSD BF'!$L$50+'TUSD CVA'!$L$50)*1</f>
        <v>0</v>
      </c>
      <c r="M50" s="13">
        <f>('TUSD BE'!$M$50+'TUSD BF'!$M$50+'TUSD CVA'!$M$50)*1</f>
        <v>0.43640963550955808</v>
      </c>
      <c r="N50" s="13">
        <f ca="1">('TUSD BE'!$N$50+'TUSD BF'!$N$50+'TUSD CVA'!$N$50)*1</f>
        <v>0</v>
      </c>
      <c r="O50" s="13">
        <f>('TUSD BE'!$O$50+'TUSD BF'!$O$50+'TUSD CVA'!$O$50)*1</f>
        <v>0</v>
      </c>
      <c r="P50" s="13">
        <f>('TUSD BE'!$P$50+'TUSD BF'!$P$50+'TUSD CVA'!$P$50)*1</f>
        <v>0</v>
      </c>
      <c r="Q50" s="13">
        <f>('TUSD BE'!$Q$50+'TUSD BF'!$Q$50+'TUSD CVA'!$Q$50)*1</f>
        <v>46.224822336801765</v>
      </c>
      <c r="R50" s="13">
        <f>('TUSD BE'!$R$50+'TUSD BF'!$R$50+'TUSD CVA'!$R$50)*1</f>
        <v>7.2875852975716775</v>
      </c>
      <c r="S50" s="13">
        <f>('TUSD BE'!$S$50+'TUSD BF'!$S$50+'TUSD CVA'!$S$50)*1</f>
        <v>0</v>
      </c>
      <c r="T50" s="13">
        <f>('TUSD BE'!$U$50+'TUSD BF'!$U$50+'TUSD CVA'!$U$50)*1</f>
        <v>0</v>
      </c>
      <c r="U50" s="13">
        <f>('TUSD BE'!$V$50+'TUSD BF'!$V$50+'TUSD CVA'!$V$50)*1</f>
        <v>0</v>
      </c>
      <c r="V50" s="13">
        <f>('TUSD BE'!$W$50+'TUSD BF'!$W$50+'TUSD CVA'!$W$50)*1</f>
        <v>0</v>
      </c>
      <c r="W50" s="13">
        <f>('TUSD BE'!$X$50+'TUSD BF'!$X$50+'TUSD CVA'!$X$50)*1</f>
        <v>0</v>
      </c>
      <c r="X50" s="13">
        <f>('TUSD BE'!$Y$50+'TUSD BF'!$Y$50+'TUSD CVA'!$Y$50)*1</f>
        <v>55.735087577809978</v>
      </c>
      <c r="Y50" s="13">
        <f>('TUSD BE'!$Z$50+'TUSD BF'!$Z$50+'TUSD CVA'!$Z$50)*1</f>
        <v>0</v>
      </c>
      <c r="Z50" s="13">
        <f>('TUSD BE'!$AA$50+'TUSD BF'!$AA$50+'TUSD CVA'!$AA$50)*1</f>
        <v>0</v>
      </c>
      <c r="AA50" s="13">
        <f>('TUSD BE'!$AC$50+'TUSD BF'!$AC$50+'TUSD CVA'!$AC$50)*1</f>
        <v>51.595942688515287</v>
      </c>
      <c r="AB50" s="13">
        <f ca="1">('TUSD BE'!$AE$50+'TUSD BF'!$AE$50+'TUSD CVA'!$AE$50)*1</f>
        <v>0</v>
      </c>
      <c r="AC50" s="13">
        <f ca="1">('TUSD BE'!$AF$50+'TUSD BF'!$AF$50+'TUSD CVA'!$AF$50)*1</f>
        <v>0</v>
      </c>
      <c r="AD50" s="13">
        <f>('TUSD BE'!$AH$50+'TUSD BF'!$AH$50+'TUSD CVA'!$AH$50)*1</f>
        <v>9.9725538725947942</v>
      </c>
      <c r="AE50" s="13">
        <f>('TUSD BE'!$AI$50+'TUSD BF'!$AI$50+'TUSD CVA'!$AI$50)*1</f>
        <v>0</v>
      </c>
      <c r="AF50" s="13">
        <f ca="1">('TUSD BE'!$AJ$50+'TUSD BF'!$AJ$50+'TUSD CVA'!$AJ$50)*1</f>
        <v>0</v>
      </c>
      <c r="AG50" s="13">
        <f ca="1">('TUSD BE'!$AK$50+'TUSD BF'!$AK$50+'TUSD CVA'!$AK$50)*1</f>
        <v>0</v>
      </c>
      <c r="AI50" s="13">
        <v>0</v>
      </c>
      <c r="AJ50" s="13">
        <v>0.548087899277105</v>
      </c>
      <c r="AK50" s="13">
        <v>0</v>
      </c>
      <c r="AL50" s="13">
        <v>0</v>
      </c>
      <c r="AM50" s="13">
        <v>0</v>
      </c>
      <c r="AN50" s="13">
        <v>38.901796976579099</v>
      </c>
      <c r="AO50" s="13">
        <v>5.9045794163538803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54.247320306717299</v>
      </c>
      <c r="AV50" s="13">
        <v>0</v>
      </c>
      <c r="AW50" s="13">
        <v>0</v>
      </c>
      <c r="AX50" s="13">
        <v>53.170005491017001</v>
      </c>
      <c r="AY50" s="13">
        <v>0</v>
      </c>
      <c r="AZ50" s="13">
        <v>0</v>
      </c>
      <c r="BA50" s="13">
        <v>14.233215347102901</v>
      </c>
      <c r="BB50" s="13">
        <v>0</v>
      </c>
      <c r="BC50" s="13">
        <v>0</v>
      </c>
      <c r="BD50" s="13">
        <v>0</v>
      </c>
    </row>
    <row r="51" spans="1:56" ht="11.25" customHeight="1" x14ac:dyDescent="0.3">
      <c r="A51" s="91"/>
      <c r="B51" s="91"/>
      <c r="C51" s="91"/>
      <c r="D51" s="18" t="s">
        <v>87</v>
      </c>
      <c r="E51" s="18" t="s">
        <v>25</v>
      </c>
      <c r="F51" s="18" t="s">
        <v>25</v>
      </c>
      <c r="G51" s="18" t="s">
        <v>74</v>
      </c>
      <c r="H51" s="18" t="s">
        <v>68</v>
      </c>
      <c r="I51" s="18">
        <f>'MERCADO TUSD'!$U$48</f>
        <v>0</v>
      </c>
      <c r="J51" s="15"/>
      <c r="L51" s="13">
        <f>('TUSD BE'!$L$51+'TUSD BF'!$L$51+'TUSD CVA'!$L$51)*1</f>
        <v>0</v>
      </c>
      <c r="M51" s="13">
        <f>('TUSD BE'!$M$51+'TUSD BF'!$M$51+'TUSD CVA'!$M$51)*1</f>
        <v>0.4760832387376997</v>
      </c>
      <c r="N51" s="13">
        <f ca="1">('TUSD BE'!$N$51+'TUSD BF'!$N$51+'TUSD CVA'!$N$51)*1</f>
        <v>0</v>
      </c>
      <c r="O51" s="13">
        <f>('TUSD BE'!$O$51+'TUSD BF'!$O$51+'TUSD CVA'!$O$51)*1</f>
        <v>0</v>
      </c>
      <c r="P51" s="13">
        <f>('TUSD BE'!$P$51+'TUSD BF'!$P$51+'TUSD CVA'!$P$51)*1</f>
        <v>0</v>
      </c>
      <c r="Q51" s="13">
        <f>('TUSD BE'!$Q$51+'TUSD BF'!$Q$51+'TUSD CVA'!$Q$51)*1</f>
        <v>50.427078912874649</v>
      </c>
      <c r="R51" s="13">
        <f>('TUSD BE'!$R$51+'TUSD BF'!$R$51+'TUSD CVA'!$R$51)*1</f>
        <v>7.9500930518963742</v>
      </c>
      <c r="S51" s="13">
        <f>('TUSD BE'!$S$51+'TUSD BF'!$S$51+'TUSD CVA'!$S$51)*1</f>
        <v>0</v>
      </c>
      <c r="T51" s="13">
        <f>('TUSD BE'!$U$51+'TUSD BF'!$U$51+'TUSD CVA'!$U$51)*1</f>
        <v>0</v>
      </c>
      <c r="U51" s="13">
        <f>('TUSD BE'!$V$51+'TUSD BF'!$V$51+'TUSD CVA'!$V$51)*1</f>
        <v>0</v>
      </c>
      <c r="V51" s="13">
        <f>('TUSD BE'!$W$51+'TUSD BF'!$W$51+'TUSD CVA'!$W$51)*1</f>
        <v>0</v>
      </c>
      <c r="W51" s="13">
        <f>('TUSD BE'!$X$51+'TUSD BF'!$X$51+'TUSD CVA'!$X$51)*1</f>
        <v>0</v>
      </c>
      <c r="X51" s="13">
        <f>('TUSD BE'!$Y$51+'TUSD BF'!$Y$51+'TUSD CVA'!$Y$51)*1</f>
        <v>60.801913721247239</v>
      </c>
      <c r="Y51" s="13">
        <f>('TUSD BE'!$Z$51+'TUSD BF'!$Z$51+'TUSD CVA'!$Z$51)*1</f>
        <v>0</v>
      </c>
      <c r="Z51" s="13">
        <f>('TUSD BE'!$AA$51+'TUSD BF'!$AA$51+'TUSD CVA'!$AA$51)*1</f>
        <v>0</v>
      </c>
      <c r="AA51" s="13">
        <f>('TUSD BE'!$AC$51+'TUSD BF'!$AC$51+'TUSD CVA'!$AC$51)*1</f>
        <v>56.286482932925757</v>
      </c>
      <c r="AB51" s="13">
        <f ca="1">('TUSD BE'!$AE$51+'TUSD BF'!$AE$51+'TUSD CVA'!$AE$51)*1</f>
        <v>0</v>
      </c>
      <c r="AC51" s="13">
        <f ca="1">('TUSD BE'!$AF$51+'TUSD BF'!$AF$51+'TUSD CVA'!$AF$51)*1</f>
        <v>0</v>
      </c>
      <c r="AD51" s="13">
        <f>('TUSD BE'!$AH$51+'TUSD BF'!$AH$51+'TUSD CVA'!$AH$51)*1</f>
        <v>10.87914967919432</v>
      </c>
      <c r="AE51" s="13">
        <f>('TUSD BE'!$AI$51+'TUSD BF'!$AI$51+'TUSD CVA'!$AI$51)*1</f>
        <v>0</v>
      </c>
      <c r="AF51" s="13">
        <f ca="1">('TUSD BE'!$AJ$51+'TUSD BF'!$AJ$51+'TUSD CVA'!$AJ$51)*1</f>
        <v>0</v>
      </c>
      <c r="AG51" s="13">
        <f ca="1">('TUSD BE'!$AK$51+'TUSD BF'!$AK$51+'TUSD CVA'!$AK$51)*1</f>
        <v>0</v>
      </c>
      <c r="AI51" s="13">
        <v>0</v>
      </c>
      <c r="AJ51" s="13">
        <v>0.59791407193865997</v>
      </c>
      <c r="AK51" s="13">
        <v>0</v>
      </c>
      <c r="AL51" s="13">
        <v>0</v>
      </c>
      <c r="AM51" s="13">
        <v>0</v>
      </c>
      <c r="AN51" s="13">
        <v>42.438323974449901</v>
      </c>
      <c r="AO51" s="13">
        <v>6.44135936329514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59.178894880055203</v>
      </c>
      <c r="AV51" s="13">
        <v>0</v>
      </c>
      <c r="AW51" s="13">
        <v>0</v>
      </c>
      <c r="AX51" s="13">
        <v>58.003642353836703</v>
      </c>
      <c r="AY51" s="13">
        <v>0</v>
      </c>
      <c r="AZ51" s="13">
        <v>0</v>
      </c>
      <c r="BA51" s="13">
        <v>15.5271440150213</v>
      </c>
      <c r="BB51" s="13">
        <v>0</v>
      </c>
      <c r="BC51" s="13">
        <v>0</v>
      </c>
      <c r="BD51" s="13">
        <v>0</v>
      </c>
    </row>
    <row r="53" spans="1:56" ht="11.25" customHeight="1" x14ac:dyDescent="0.3">
      <c r="L53" s="93" t="s">
        <v>670</v>
      </c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I53" s="93" t="s">
        <v>671</v>
      </c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</row>
    <row r="54" spans="1:56" ht="11.25" customHeight="1" x14ac:dyDescent="0.3">
      <c r="L54" s="93" t="s">
        <v>367</v>
      </c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I54" s="93" t="s">
        <v>367</v>
      </c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</row>
    <row r="55" spans="1:56" ht="11.25" customHeight="1" x14ac:dyDescent="0.3">
      <c r="L55" s="93" t="s">
        <v>368</v>
      </c>
      <c r="M55" s="93"/>
      <c r="N55" s="93"/>
      <c r="O55" s="93"/>
      <c r="P55" s="93"/>
      <c r="Q55" s="93"/>
      <c r="R55" s="93"/>
      <c r="S55" s="93"/>
      <c r="T55" s="93" t="s">
        <v>377</v>
      </c>
      <c r="U55" s="93"/>
      <c r="V55" s="93"/>
      <c r="W55" s="93"/>
      <c r="X55" s="93"/>
      <c r="Y55" s="93"/>
      <c r="Z55" s="93"/>
      <c r="AA55" s="10" t="s">
        <v>385</v>
      </c>
      <c r="AB55" s="93" t="s">
        <v>387</v>
      </c>
      <c r="AC55" s="93"/>
      <c r="AD55" s="93" t="s">
        <v>390</v>
      </c>
      <c r="AE55" s="93"/>
      <c r="AF55" s="93"/>
      <c r="AG55" s="93"/>
      <c r="AI55" s="93" t="s">
        <v>368</v>
      </c>
      <c r="AJ55" s="93"/>
      <c r="AK55" s="93"/>
      <c r="AL55" s="93"/>
      <c r="AM55" s="93"/>
      <c r="AN55" s="93"/>
      <c r="AO55" s="93"/>
      <c r="AP55" s="93"/>
      <c r="AQ55" s="93" t="s">
        <v>377</v>
      </c>
      <c r="AR55" s="93"/>
      <c r="AS55" s="93"/>
      <c r="AT55" s="93"/>
      <c r="AU55" s="93"/>
      <c r="AV55" s="93"/>
      <c r="AW55" s="93"/>
      <c r="AX55" s="10" t="s">
        <v>385</v>
      </c>
      <c r="AY55" s="93" t="s">
        <v>387</v>
      </c>
      <c r="AZ55" s="93"/>
      <c r="BA55" s="93" t="s">
        <v>390</v>
      </c>
      <c r="BB55" s="93"/>
      <c r="BC55" s="93"/>
      <c r="BD55" s="93"/>
    </row>
    <row r="56" spans="1:56" ht="11.25" customHeight="1" x14ac:dyDescent="0.3">
      <c r="L56" s="10" t="s">
        <v>453</v>
      </c>
      <c r="M56" s="10" t="s">
        <v>369</v>
      </c>
      <c r="N56" s="10" t="s">
        <v>370</v>
      </c>
      <c r="O56" s="10" t="s">
        <v>371</v>
      </c>
      <c r="P56" s="10" t="s">
        <v>372</v>
      </c>
      <c r="Q56" s="10" t="s">
        <v>373</v>
      </c>
      <c r="R56" s="10" t="s">
        <v>374</v>
      </c>
      <c r="S56" s="10" t="s">
        <v>375</v>
      </c>
      <c r="T56" s="10" t="s">
        <v>378</v>
      </c>
      <c r="U56" s="10" t="s">
        <v>379</v>
      </c>
      <c r="V56" s="10" t="s">
        <v>380</v>
      </c>
      <c r="W56" s="10" t="s">
        <v>381</v>
      </c>
      <c r="X56" s="10" t="s">
        <v>382</v>
      </c>
      <c r="Y56" s="10" t="s">
        <v>383</v>
      </c>
      <c r="Z56" s="10" t="s">
        <v>384</v>
      </c>
      <c r="AA56" s="10" t="s">
        <v>386</v>
      </c>
      <c r="AB56" s="10" t="s">
        <v>388</v>
      </c>
      <c r="AC56" s="10" t="s">
        <v>389</v>
      </c>
      <c r="AD56" s="10" t="s">
        <v>391</v>
      </c>
      <c r="AE56" s="10" t="s">
        <v>392</v>
      </c>
      <c r="AF56" s="10" t="s">
        <v>393</v>
      </c>
      <c r="AG56" s="10" t="s">
        <v>394</v>
      </c>
      <c r="AI56" s="10" t="s">
        <v>453</v>
      </c>
      <c r="AJ56" s="10" t="s">
        <v>369</v>
      </c>
      <c r="AK56" s="10" t="s">
        <v>370</v>
      </c>
      <c r="AL56" s="10" t="s">
        <v>371</v>
      </c>
      <c r="AM56" s="10" t="s">
        <v>372</v>
      </c>
      <c r="AN56" s="10" t="s">
        <v>373</v>
      </c>
      <c r="AO56" s="10" t="s">
        <v>374</v>
      </c>
      <c r="AP56" s="10" t="s">
        <v>375</v>
      </c>
      <c r="AQ56" s="10" t="s">
        <v>378</v>
      </c>
      <c r="AR56" s="10" t="s">
        <v>379</v>
      </c>
      <c r="AS56" s="10" t="s">
        <v>380</v>
      </c>
      <c r="AT56" s="10" t="s">
        <v>381</v>
      </c>
      <c r="AU56" s="10" t="s">
        <v>382</v>
      </c>
      <c r="AV56" s="10" t="s">
        <v>383</v>
      </c>
      <c r="AW56" s="10" t="s">
        <v>384</v>
      </c>
      <c r="AX56" s="10" t="s">
        <v>386</v>
      </c>
      <c r="AY56" s="10" t="s">
        <v>388</v>
      </c>
      <c r="AZ56" s="10" t="s">
        <v>389</v>
      </c>
      <c r="BA56" s="10" t="s">
        <v>391</v>
      </c>
      <c r="BB56" s="10" t="s">
        <v>392</v>
      </c>
      <c r="BC56" s="10" t="s">
        <v>393</v>
      </c>
      <c r="BD56" s="10" t="s">
        <v>394</v>
      </c>
    </row>
    <row r="57" spans="1:56" ht="11.25" customHeight="1" x14ac:dyDescent="0.3">
      <c r="A57" s="9" t="s">
        <v>33</v>
      </c>
      <c r="B57" s="9" t="s">
        <v>672</v>
      </c>
      <c r="C57" s="9" t="s">
        <v>673</v>
      </c>
      <c r="D57" s="9" t="s">
        <v>674</v>
      </c>
      <c r="E57" s="9" t="s">
        <v>675</v>
      </c>
      <c r="F57" s="9" t="s">
        <v>676</v>
      </c>
      <c r="G57" s="9" t="s">
        <v>677</v>
      </c>
      <c r="L57" s="13">
        <f>$I$5*$L$5</f>
        <v>0</v>
      </c>
      <c r="M57" s="13">
        <f>$I$5*$M$5</f>
        <v>0</v>
      </c>
      <c r="N57" s="13">
        <f ca="1">$I$5*$N$5</f>
        <v>0</v>
      </c>
      <c r="O57" s="13">
        <f>$I$5*$O$5</f>
        <v>0</v>
      </c>
      <c r="P57" s="13">
        <f>$I$5*$P$5</f>
        <v>0</v>
      </c>
      <c r="Q57" s="13">
        <f>$I$5*$Q$5</f>
        <v>0</v>
      </c>
      <c r="R57" s="13">
        <f>$I$5*$R$5</f>
        <v>0</v>
      </c>
      <c r="S57" s="13">
        <f>$I$5*$S$5</f>
        <v>0</v>
      </c>
      <c r="T57" s="13">
        <f>$I$5*$T$5</f>
        <v>0</v>
      </c>
      <c r="U57" s="13">
        <f>$I$5*$U$5</f>
        <v>0</v>
      </c>
      <c r="V57" s="13">
        <f>$I$5*$V$5</f>
        <v>0</v>
      </c>
      <c r="W57" s="13">
        <f>$I$5*$W$5</f>
        <v>0</v>
      </c>
      <c r="X57" s="13">
        <f>$I$5*$X$5</f>
        <v>255727.95669771306</v>
      </c>
      <c r="Y57" s="13">
        <f>$I$5*$Y$5</f>
        <v>0</v>
      </c>
      <c r="Z57" s="13">
        <f>$I$5*$Z$5</f>
        <v>0</v>
      </c>
      <c r="AA57" s="13">
        <f>$I$5*$AA$5</f>
        <v>185489.15303727114</v>
      </c>
      <c r="AB57" s="13">
        <f ca="1">$I$5*$AB$5</f>
        <v>0</v>
      </c>
      <c r="AC57" s="13">
        <f ca="1">$I$5*$AC$5</f>
        <v>0</v>
      </c>
      <c r="AD57" s="13">
        <f>$I$5*$AD$5</f>
        <v>0</v>
      </c>
      <c r="AE57" s="13">
        <f>$I$5*$AE$5</f>
        <v>0</v>
      </c>
      <c r="AF57" s="13">
        <f ca="1">$I$5*$AF$5</f>
        <v>0</v>
      </c>
      <c r="AG57" s="13">
        <f ca="1">$I$5*$AG$5</f>
        <v>0</v>
      </c>
      <c r="AI57" s="13">
        <f>$I$5*$AI$5</f>
        <v>0</v>
      </c>
      <c r="AJ57" s="13">
        <f>$I$5*$AJ$5</f>
        <v>0</v>
      </c>
      <c r="AK57" s="13">
        <f>$I$5*$AK$5</f>
        <v>0</v>
      </c>
      <c r="AL57" s="13">
        <f>$I$5*$AL$5</f>
        <v>0</v>
      </c>
      <c r="AM57" s="13">
        <f>$I$5*$AM$5</f>
        <v>0</v>
      </c>
      <c r="AN57" s="13">
        <f>$I$5*$AN$5</f>
        <v>0</v>
      </c>
      <c r="AO57" s="13">
        <f>$I$5*$AO$5</f>
        <v>0</v>
      </c>
      <c r="AP57" s="13">
        <f>$I$5*$AP$5</f>
        <v>0</v>
      </c>
      <c r="AQ57" s="13">
        <f>$I$5*$AQ$5</f>
        <v>0</v>
      </c>
      <c r="AR57" s="13">
        <f>$I$5*$AR$5</f>
        <v>0</v>
      </c>
      <c r="AS57" s="13">
        <f>$I$5*$AS$5</f>
        <v>0</v>
      </c>
      <c r="AT57" s="13">
        <f>$I$5*$AT$5</f>
        <v>0</v>
      </c>
      <c r="AU57" s="13">
        <f>$I$5*$AU$5</f>
        <v>248902.01220102</v>
      </c>
      <c r="AV57" s="13">
        <f>$I$5*$AV$5</f>
        <v>0</v>
      </c>
      <c r="AW57" s="13">
        <f>$I$5*$AW$5</f>
        <v>0</v>
      </c>
      <c r="AX57" s="13">
        <f>$I$5*$AX$5</f>
        <v>191147.80660547526</v>
      </c>
      <c r="AY57" s="13">
        <f>$I$5*$AY$5</f>
        <v>0</v>
      </c>
      <c r="AZ57" s="13">
        <f>$I$5*$AZ$5</f>
        <v>0</v>
      </c>
      <c r="BA57" s="13">
        <f>$I$5*$BA$5</f>
        <v>0</v>
      </c>
      <c r="BB57" s="13">
        <f>$I$5*$BB$5</f>
        <v>0</v>
      </c>
      <c r="BC57" s="13">
        <f>$I$5*$BC$5</f>
        <v>0</v>
      </c>
      <c r="BD57" s="13">
        <f>$I$5*$BD$5</f>
        <v>0</v>
      </c>
    </row>
    <row r="58" spans="1:56" ht="11.25" customHeight="1" x14ac:dyDescent="0.3">
      <c r="A58" s="9" t="s">
        <v>33</v>
      </c>
      <c r="B58" s="9" t="s">
        <v>672</v>
      </c>
      <c r="C58" s="9" t="s">
        <v>673</v>
      </c>
      <c r="D58" s="9" t="s">
        <v>674</v>
      </c>
      <c r="E58" s="9" t="s">
        <v>675</v>
      </c>
      <c r="F58" s="9" t="s">
        <v>676</v>
      </c>
      <c r="G58" s="9" t="s">
        <v>678</v>
      </c>
      <c r="L58" s="13">
        <f>$I$6*$L$6</f>
        <v>0</v>
      </c>
      <c r="M58" s="13">
        <f>$I$6*$M$6</f>
        <v>0</v>
      </c>
      <c r="N58" s="13">
        <f ca="1">$I$6*$N$6</f>
        <v>0</v>
      </c>
      <c r="O58" s="13">
        <f>$I$6*$O$6</f>
        <v>0</v>
      </c>
      <c r="P58" s="13">
        <f>$I$6*$P$6</f>
        <v>0</v>
      </c>
      <c r="Q58" s="13">
        <f>$I$6*$Q$6</f>
        <v>0</v>
      </c>
      <c r="R58" s="13">
        <f>$I$6*$R$6</f>
        <v>0</v>
      </c>
      <c r="S58" s="13">
        <f>$I$6*$S$6</f>
        <v>0</v>
      </c>
      <c r="T58" s="13">
        <f>$I$6*$T$6</f>
        <v>0</v>
      </c>
      <c r="U58" s="13">
        <f>$I$6*$U$6</f>
        <v>0</v>
      </c>
      <c r="V58" s="13">
        <f>$I$6*$V$6</f>
        <v>0</v>
      </c>
      <c r="W58" s="13">
        <f>$I$6*$W$6</f>
        <v>0</v>
      </c>
      <c r="X58" s="13">
        <f>$I$6*$X$6</f>
        <v>104605.87139133492</v>
      </c>
      <c r="Y58" s="13">
        <f>$I$6*$Y$6</f>
        <v>0</v>
      </c>
      <c r="Z58" s="13">
        <f>$I$6*$Z$6</f>
        <v>0</v>
      </c>
      <c r="AA58" s="13">
        <f>$I$6*$AA$6</f>
        <v>52455.810259041464</v>
      </c>
      <c r="AB58" s="13">
        <f ca="1">$I$6*$AB$6</f>
        <v>0</v>
      </c>
      <c r="AC58" s="13">
        <f ca="1">$I$6*$AC$6</f>
        <v>0</v>
      </c>
      <c r="AD58" s="13">
        <f>$I$6*$AD$6</f>
        <v>0</v>
      </c>
      <c r="AE58" s="13">
        <f>$I$6*$AE$6</f>
        <v>0</v>
      </c>
      <c r="AF58" s="13">
        <f ca="1">$I$6*$AF$6</f>
        <v>0</v>
      </c>
      <c r="AG58" s="13">
        <f ca="1">$I$6*$AG$6</f>
        <v>0</v>
      </c>
      <c r="AI58" s="13">
        <f>$I$6*$AI$6</f>
        <v>0</v>
      </c>
      <c r="AJ58" s="13">
        <f>$I$6*$AJ$6</f>
        <v>0</v>
      </c>
      <c r="AK58" s="13">
        <f>$I$6*$AK$6</f>
        <v>0</v>
      </c>
      <c r="AL58" s="13">
        <f>$I$6*$AL$6</f>
        <v>0</v>
      </c>
      <c r="AM58" s="13">
        <f>$I$6*$AM$6</f>
        <v>0</v>
      </c>
      <c r="AN58" s="13">
        <f>$I$6*$AN$6</f>
        <v>0</v>
      </c>
      <c r="AO58" s="13">
        <f>$I$6*$AO$6</f>
        <v>0</v>
      </c>
      <c r="AP58" s="13">
        <f>$I$6*$AP$6</f>
        <v>0</v>
      </c>
      <c r="AQ58" s="13">
        <f>$I$6*$AQ$6</f>
        <v>0</v>
      </c>
      <c r="AR58" s="13">
        <f>$I$6*$AR$6</f>
        <v>0</v>
      </c>
      <c r="AS58" s="13">
        <f>$I$6*$AS$6</f>
        <v>0</v>
      </c>
      <c r="AT58" s="13">
        <f>$I$6*$AT$6</f>
        <v>0</v>
      </c>
      <c r="AU58" s="13">
        <f>$I$6*$AU$6</f>
        <v>101813.37881030541</v>
      </c>
      <c r="AV58" s="13">
        <f>$I$6*$AV$6</f>
        <v>0</v>
      </c>
      <c r="AW58" s="13">
        <f>$I$6*$AW$6</f>
        <v>0</v>
      </c>
      <c r="AX58" s="13">
        <f>$I$6*$AX$6</f>
        <v>54055.95086724763</v>
      </c>
      <c r="AY58" s="13">
        <f>$I$6*$AY$6</f>
        <v>0</v>
      </c>
      <c r="AZ58" s="13">
        <f>$I$6*$AZ$6</f>
        <v>0</v>
      </c>
      <c r="BA58" s="13">
        <f>$I$6*$BA$6</f>
        <v>0</v>
      </c>
      <c r="BB58" s="13">
        <f>$I$6*$BB$6</f>
        <v>0</v>
      </c>
      <c r="BC58" s="13">
        <f>$I$6*$BC$6</f>
        <v>0</v>
      </c>
      <c r="BD58" s="13">
        <f>$I$6*$BD$6</f>
        <v>0</v>
      </c>
    </row>
    <row r="59" spans="1:56" ht="11.25" customHeight="1" x14ac:dyDescent="0.3">
      <c r="A59" s="9" t="s">
        <v>33</v>
      </c>
      <c r="B59" s="9" t="s">
        <v>672</v>
      </c>
      <c r="C59" s="9" t="s">
        <v>673</v>
      </c>
      <c r="D59" s="9" t="s">
        <v>674</v>
      </c>
      <c r="E59" s="9" t="s">
        <v>675</v>
      </c>
      <c r="F59" s="9" t="s">
        <v>676</v>
      </c>
      <c r="G59" s="9" t="s">
        <v>679</v>
      </c>
      <c r="L59" s="13">
        <f>$I$7*$L$7</f>
        <v>0</v>
      </c>
      <c r="M59" s="13">
        <f>$I$7*$M$7</f>
        <v>1738.610932133897</v>
      </c>
      <c r="N59" s="13">
        <f ca="1">$I$7*$N$7</f>
        <v>0</v>
      </c>
      <c r="O59" s="13">
        <f>$I$7*$O$7</f>
        <v>0</v>
      </c>
      <c r="P59" s="13">
        <f>$I$7*$P$7</f>
        <v>0</v>
      </c>
      <c r="Q59" s="13">
        <f>$I$7*$Q$7</f>
        <v>211354.33003925835</v>
      </c>
      <c r="R59" s="13">
        <f>$I$7*$R$7</f>
        <v>39667.996294223543</v>
      </c>
      <c r="S59" s="13">
        <f>$I$7*$S$7</f>
        <v>0</v>
      </c>
      <c r="T59" s="13">
        <f>$I$7*$T$7</f>
        <v>0</v>
      </c>
      <c r="U59" s="13">
        <f>$I$7*$U$7</f>
        <v>0</v>
      </c>
      <c r="V59" s="13">
        <f>$I$7*$V$7</f>
        <v>0</v>
      </c>
      <c r="W59" s="13">
        <f>$I$7*$W$7</f>
        <v>0</v>
      </c>
      <c r="X59" s="13">
        <f>$I$7*$X$7</f>
        <v>0</v>
      </c>
      <c r="Y59" s="13">
        <f>$I$7*$Y$7</f>
        <v>0</v>
      </c>
      <c r="Z59" s="13">
        <f>$I$7*$Z$7</f>
        <v>0</v>
      </c>
      <c r="AA59" s="13">
        <f>$I$7*$AA$7</f>
        <v>0</v>
      </c>
      <c r="AB59" s="13">
        <f ca="1">$I$7*$AB$7</f>
        <v>0</v>
      </c>
      <c r="AC59" s="13">
        <f ca="1">$I$7*$AC$7</f>
        <v>0</v>
      </c>
      <c r="AD59" s="13">
        <f>$I$7*$AD$7</f>
        <v>20958.389239066579</v>
      </c>
      <c r="AE59" s="13">
        <f>$I$7*$AE$7</f>
        <v>0</v>
      </c>
      <c r="AF59" s="13">
        <f ca="1">$I$7*$AF$7</f>
        <v>0</v>
      </c>
      <c r="AG59" s="13">
        <f ca="1">$I$7*$AG$7</f>
        <v>0</v>
      </c>
      <c r="AI59" s="13">
        <f>$I$7*$AI$7</f>
        <v>0</v>
      </c>
      <c r="AJ59" s="13">
        <f>$I$7*$AJ$7</f>
        <v>2020.2824284778485</v>
      </c>
      <c r="AK59" s="13">
        <f>$I$7*$AK$7</f>
        <v>0</v>
      </c>
      <c r="AL59" s="13">
        <f>$I$7*$AL$7</f>
        <v>0</v>
      </c>
      <c r="AM59" s="13">
        <f>$I$7*$AM$7</f>
        <v>0</v>
      </c>
      <c r="AN59" s="13">
        <f>$I$7*$AN$7</f>
        <v>184223.71190265261</v>
      </c>
      <c r="AO59" s="13">
        <f>$I$7*$AO$7</f>
        <v>32139.978448680355</v>
      </c>
      <c r="AP59" s="13">
        <f>$I$7*$AP$7</f>
        <v>0</v>
      </c>
      <c r="AQ59" s="13">
        <f>$I$7*$AQ$7</f>
        <v>0</v>
      </c>
      <c r="AR59" s="13">
        <f>$I$7*$AR$7</f>
        <v>0</v>
      </c>
      <c r="AS59" s="13">
        <f>$I$7*$AS$7</f>
        <v>0</v>
      </c>
      <c r="AT59" s="13">
        <f>$I$7*$AT$7</f>
        <v>0</v>
      </c>
      <c r="AU59" s="13">
        <f>$I$7*$AU$7</f>
        <v>0</v>
      </c>
      <c r="AV59" s="13">
        <f>$I$7*$AV$7</f>
        <v>0</v>
      </c>
      <c r="AW59" s="13">
        <f>$I$7*$AW$7</f>
        <v>0</v>
      </c>
      <c r="AX59" s="13">
        <f>$I$7*$AX$7</f>
        <v>0</v>
      </c>
      <c r="AY59" s="13">
        <f>$I$7*$AY$7</f>
        <v>0</v>
      </c>
      <c r="AZ59" s="13">
        <f>$I$7*$AZ$7</f>
        <v>0</v>
      </c>
      <c r="BA59" s="13">
        <f>$I$7*$BA$7</f>
        <v>29912.473240750918</v>
      </c>
      <c r="BB59" s="13">
        <f>$I$7*$BB$7</f>
        <v>0</v>
      </c>
      <c r="BC59" s="13">
        <f>$I$7*$BC$7</f>
        <v>0</v>
      </c>
      <c r="BD59" s="13">
        <f>$I$7*$BD$7</f>
        <v>0</v>
      </c>
    </row>
    <row r="60" spans="1:56" ht="11.25" customHeight="1" x14ac:dyDescent="0.3">
      <c r="A60" s="9" t="s">
        <v>33</v>
      </c>
      <c r="B60" s="9" t="s">
        <v>672</v>
      </c>
      <c r="C60" s="9" t="s">
        <v>673</v>
      </c>
      <c r="D60" s="9" t="s">
        <v>674</v>
      </c>
      <c r="E60" s="9" t="s">
        <v>680</v>
      </c>
      <c r="F60" s="9" t="s">
        <v>681</v>
      </c>
      <c r="G60" s="9" t="s">
        <v>682</v>
      </c>
      <c r="L60" s="13">
        <f>$I$8*$L$8</f>
        <v>0</v>
      </c>
      <c r="M60" s="13">
        <f>$I$8*$M$8</f>
        <v>0</v>
      </c>
      <c r="N60" s="13">
        <f ca="1">$I$8*$N$8</f>
        <v>0</v>
      </c>
      <c r="O60" s="13">
        <f>$I$8*$O$8</f>
        <v>0</v>
      </c>
      <c r="P60" s="13">
        <f>$I$8*$P$8</f>
        <v>0</v>
      </c>
      <c r="Q60" s="13">
        <f>$I$8*$Q$8</f>
        <v>0</v>
      </c>
      <c r="R60" s="13">
        <f>$I$8*$R$8</f>
        <v>0</v>
      </c>
      <c r="S60" s="13">
        <f>$I$8*$S$8</f>
        <v>0</v>
      </c>
      <c r="T60" s="13">
        <f>$I$8*$T$8</f>
        <v>0</v>
      </c>
      <c r="U60" s="13">
        <f>$I$8*$U$8</f>
        <v>0</v>
      </c>
      <c r="V60" s="13">
        <f>$I$8*$V$8</f>
        <v>0</v>
      </c>
      <c r="W60" s="13">
        <f>$I$8*$W$8</f>
        <v>0</v>
      </c>
      <c r="X60" s="13">
        <f>$I$8*$X$8</f>
        <v>0</v>
      </c>
      <c r="Y60" s="13">
        <f>$I$8*$Y$8</f>
        <v>0</v>
      </c>
      <c r="Z60" s="13">
        <f>$I$8*$Z$8</f>
        <v>0</v>
      </c>
      <c r="AA60" s="13">
        <f>$I$8*$AA$8</f>
        <v>0</v>
      </c>
      <c r="AB60" s="13">
        <f ca="1">$I$8*$AB$8</f>
        <v>0</v>
      </c>
      <c r="AC60" s="13">
        <f ca="1">$I$8*$AC$8</f>
        <v>0</v>
      </c>
      <c r="AD60" s="13">
        <f>$I$8*$AD$8</f>
        <v>0</v>
      </c>
      <c r="AE60" s="13">
        <f>$I$8*$AE$8</f>
        <v>0</v>
      </c>
      <c r="AF60" s="13">
        <f ca="1">$I$8*$AF$8</f>
        <v>0</v>
      </c>
      <c r="AG60" s="13">
        <f ca="1">$I$8*$AG$8</f>
        <v>0</v>
      </c>
      <c r="AI60" s="13">
        <f>$I$8*$AI$8</f>
        <v>0</v>
      </c>
      <c r="AJ60" s="13">
        <f>$I$8*$AJ$8</f>
        <v>0</v>
      </c>
      <c r="AK60" s="13">
        <f>$I$8*$AK$8</f>
        <v>0</v>
      </c>
      <c r="AL60" s="13">
        <f>$I$8*$AL$8</f>
        <v>0</v>
      </c>
      <c r="AM60" s="13">
        <f>$I$8*$AM$8</f>
        <v>0</v>
      </c>
      <c r="AN60" s="13">
        <f>$I$8*$AN$8</f>
        <v>0</v>
      </c>
      <c r="AO60" s="13">
        <f>$I$8*$AO$8</f>
        <v>0</v>
      </c>
      <c r="AP60" s="13">
        <f>$I$8*$AP$8</f>
        <v>0</v>
      </c>
      <c r="AQ60" s="13">
        <f>$I$8*$AQ$8</f>
        <v>0</v>
      </c>
      <c r="AR60" s="13">
        <f>$I$8*$AR$8</f>
        <v>0</v>
      </c>
      <c r="AS60" s="13">
        <f>$I$8*$AS$8</f>
        <v>0</v>
      </c>
      <c r="AT60" s="13">
        <f>$I$8*$AT$8</f>
        <v>0</v>
      </c>
      <c r="AU60" s="13">
        <f>$I$8*$AU$8</f>
        <v>0</v>
      </c>
      <c r="AV60" s="13">
        <f>$I$8*$AV$8</f>
        <v>0</v>
      </c>
      <c r="AW60" s="13">
        <f>$I$8*$AW$8</f>
        <v>0</v>
      </c>
      <c r="AX60" s="13">
        <f>$I$8*$AX$8</f>
        <v>0</v>
      </c>
      <c r="AY60" s="13">
        <f>$I$8*$AY$8</f>
        <v>0</v>
      </c>
      <c r="AZ60" s="13">
        <f>$I$8*$AZ$8</f>
        <v>0</v>
      </c>
      <c r="BA60" s="13">
        <f>$I$8*$BA$8</f>
        <v>0</v>
      </c>
      <c r="BB60" s="13">
        <f>$I$8*$BB$8</f>
        <v>0</v>
      </c>
      <c r="BC60" s="13">
        <f>$I$8*$BC$8</f>
        <v>0</v>
      </c>
      <c r="BD60" s="13">
        <f>$I$8*$BD$8</f>
        <v>0</v>
      </c>
    </row>
    <row r="61" spans="1:56" ht="11.25" customHeight="1" x14ac:dyDescent="0.3">
      <c r="A61" s="9" t="s">
        <v>33</v>
      </c>
      <c r="B61" s="9" t="s">
        <v>683</v>
      </c>
      <c r="C61" s="9" t="s">
        <v>684</v>
      </c>
      <c r="D61" s="9" t="s">
        <v>685</v>
      </c>
      <c r="E61" s="9" t="s">
        <v>686</v>
      </c>
      <c r="F61" s="9" t="s">
        <v>687</v>
      </c>
      <c r="G61" s="9" t="s">
        <v>688</v>
      </c>
      <c r="L61" s="13">
        <f>$I$9*$L$9</f>
        <v>0</v>
      </c>
      <c r="M61" s="13">
        <f>$I$9*$M$9</f>
        <v>0</v>
      </c>
      <c r="N61" s="13">
        <f ca="1">$I$9*$N$9</f>
        <v>0</v>
      </c>
      <c r="O61" s="13">
        <f>$I$9*$O$9</f>
        <v>0</v>
      </c>
      <c r="P61" s="13">
        <f>$I$9*$P$9</f>
        <v>0</v>
      </c>
      <c r="Q61" s="13">
        <f>$I$9*$Q$9</f>
        <v>0</v>
      </c>
      <c r="R61" s="13">
        <f>$I$9*$R$9</f>
        <v>0</v>
      </c>
      <c r="S61" s="13">
        <f>$I$9*$S$9</f>
        <v>0</v>
      </c>
      <c r="T61" s="13">
        <f>$I$9*$T$9</f>
        <v>0</v>
      </c>
      <c r="U61" s="13">
        <f>$I$9*$U$9</f>
        <v>0</v>
      </c>
      <c r="V61" s="13">
        <f>$I$9*$V$9</f>
        <v>0</v>
      </c>
      <c r="W61" s="13">
        <f>$I$9*$W$9</f>
        <v>0</v>
      </c>
      <c r="X61" s="13">
        <f>$I$9*$X$9</f>
        <v>0</v>
      </c>
      <c r="Y61" s="13">
        <f>$I$9*$Y$9</f>
        <v>0</v>
      </c>
      <c r="Z61" s="13">
        <f>$I$9*$Z$9</f>
        <v>0</v>
      </c>
      <c r="AA61" s="13">
        <f>$I$9*$AA$9</f>
        <v>0</v>
      </c>
      <c r="AB61" s="13">
        <f ca="1">$I$9*$AB$9</f>
        <v>0</v>
      </c>
      <c r="AC61" s="13">
        <f ca="1">$I$9*$AC$9</f>
        <v>0</v>
      </c>
      <c r="AD61" s="13">
        <f>$I$9*$AD$9</f>
        <v>0</v>
      </c>
      <c r="AE61" s="13">
        <f>$I$9*$AE$9</f>
        <v>0</v>
      </c>
      <c r="AF61" s="13">
        <f ca="1">$I$9*$AF$9</f>
        <v>0</v>
      </c>
      <c r="AG61" s="13">
        <f ca="1">$I$9*$AG$9</f>
        <v>0</v>
      </c>
      <c r="AI61" s="13">
        <f>$I$9*$AI$9</f>
        <v>0</v>
      </c>
      <c r="AJ61" s="13">
        <f>$I$9*$AJ$9</f>
        <v>0</v>
      </c>
      <c r="AK61" s="13">
        <f>$I$9*$AK$9</f>
        <v>0</v>
      </c>
      <c r="AL61" s="13">
        <f>$I$9*$AL$9</f>
        <v>0</v>
      </c>
      <c r="AM61" s="13">
        <f>$I$9*$AM$9</f>
        <v>0</v>
      </c>
      <c r="AN61" s="13">
        <f>$I$9*$AN$9</f>
        <v>0</v>
      </c>
      <c r="AO61" s="13">
        <f>$I$9*$AO$9</f>
        <v>0</v>
      </c>
      <c r="AP61" s="13">
        <f>$I$9*$AP$9</f>
        <v>0</v>
      </c>
      <c r="AQ61" s="13">
        <f>$I$9*$AQ$9</f>
        <v>0</v>
      </c>
      <c r="AR61" s="13">
        <f>$I$9*$AR$9</f>
        <v>0</v>
      </c>
      <c r="AS61" s="13">
        <f>$I$9*$AS$9</f>
        <v>0</v>
      </c>
      <c r="AT61" s="13">
        <f>$I$9*$AT$9</f>
        <v>0</v>
      </c>
      <c r="AU61" s="13">
        <f>$I$9*$AU$9</f>
        <v>0</v>
      </c>
      <c r="AV61" s="13">
        <f>$I$9*$AV$9</f>
        <v>0</v>
      </c>
      <c r="AW61" s="13">
        <f>$I$9*$AW$9</f>
        <v>0</v>
      </c>
      <c r="AX61" s="13">
        <f>$I$9*$AX$9</f>
        <v>0</v>
      </c>
      <c r="AY61" s="13">
        <f>$I$9*$AY$9</f>
        <v>0</v>
      </c>
      <c r="AZ61" s="13">
        <f>$I$9*$AZ$9</f>
        <v>0</v>
      </c>
      <c r="BA61" s="13">
        <f>$I$9*$BA$9</f>
        <v>0</v>
      </c>
      <c r="BB61" s="13">
        <f>$I$9*$BB$9</f>
        <v>0</v>
      </c>
      <c r="BC61" s="13">
        <f>$I$9*$BC$9</f>
        <v>0</v>
      </c>
      <c r="BD61" s="13">
        <f>$I$9*$BD$9</f>
        <v>0</v>
      </c>
    </row>
    <row r="62" spans="1:56" ht="11.25" customHeight="1" x14ac:dyDescent="0.3">
      <c r="A62" s="9" t="s">
        <v>33</v>
      </c>
      <c r="B62" s="9" t="s">
        <v>689</v>
      </c>
      <c r="C62" s="9" t="s">
        <v>690</v>
      </c>
      <c r="D62" s="9" t="s">
        <v>691</v>
      </c>
      <c r="E62" s="9" t="s">
        <v>692</v>
      </c>
      <c r="F62" s="9" t="s">
        <v>693</v>
      </c>
      <c r="G62" s="9" t="s">
        <v>694</v>
      </c>
      <c r="L62" s="13">
        <f>$I$10*$L$10</f>
        <v>0</v>
      </c>
      <c r="M62" s="13">
        <f>$I$10*$M$10</f>
        <v>0</v>
      </c>
      <c r="N62" s="13">
        <f ca="1">$I$10*$N$10</f>
        <v>0</v>
      </c>
      <c r="O62" s="13">
        <f>$I$10*$O$10</f>
        <v>0</v>
      </c>
      <c r="P62" s="13">
        <f>$I$10*$P$10</f>
        <v>0</v>
      </c>
      <c r="Q62" s="13">
        <f>$I$10*$Q$10</f>
        <v>0</v>
      </c>
      <c r="R62" s="13">
        <f>$I$10*$R$10</f>
        <v>0</v>
      </c>
      <c r="S62" s="13">
        <f>$I$10*$S$10</f>
        <v>0</v>
      </c>
      <c r="T62" s="13">
        <f>$I$10*$T$10</f>
        <v>0</v>
      </c>
      <c r="U62" s="13">
        <f>$I$10*$U$10</f>
        <v>0</v>
      </c>
      <c r="V62" s="13">
        <f>$I$10*$V$10</f>
        <v>0</v>
      </c>
      <c r="W62" s="13">
        <f>$I$10*$W$10</f>
        <v>0</v>
      </c>
      <c r="X62" s="13">
        <f>$I$10*$X$10</f>
        <v>459924.18190023047</v>
      </c>
      <c r="Y62" s="13">
        <f>$I$10*$Y$10</f>
        <v>0</v>
      </c>
      <c r="Z62" s="13">
        <f>$I$10*$Z$10</f>
        <v>0</v>
      </c>
      <c r="AA62" s="13">
        <f>$I$10*$AA$10</f>
        <v>230634.23972683266</v>
      </c>
      <c r="AB62" s="13">
        <f ca="1">$I$10*$AB$10</f>
        <v>0</v>
      </c>
      <c r="AC62" s="13">
        <f ca="1">$I$10*$AC$10</f>
        <v>0</v>
      </c>
      <c r="AD62" s="13">
        <f>$I$10*$AD$10</f>
        <v>0</v>
      </c>
      <c r="AE62" s="13">
        <f>$I$10*$AE$10</f>
        <v>0</v>
      </c>
      <c r="AF62" s="13">
        <f ca="1">$I$10*$AF$10</f>
        <v>0</v>
      </c>
      <c r="AG62" s="13">
        <f ca="1">$I$10*$AG$10</f>
        <v>0</v>
      </c>
      <c r="AI62" s="13">
        <f>$I$10*$AI$10</f>
        <v>0</v>
      </c>
      <c r="AJ62" s="13">
        <f>$I$10*$AJ$10</f>
        <v>0</v>
      </c>
      <c r="AK62" s="13">
        <f>$I$10*$AK$10</f>
        <v>0</v>
      </c>
      <c r="AL62" s="13">
        <f>$I$10*$AL$10</f>
        <v>0</v>
      </c>
      <c r="AM62" s="13">
        <f>$I$10*$AM$10</f>
        <v>0</v>
      </c>
      <c r="AN62" s="13">
        <f>$I$10*$AN$10</f>
        <v>0</v>
      </c>
      <c r="AO62" s="13">
        <f>$I$10*$AO$10</f>
        <v>0</v>
      </c>
      <c r="AP62" s="13">
        <f>$I$10*$AP$10</f>
        <v>0</v>
      </c>
      <c r="AQ62" s="13">
        <f>$I$10*$AQ$10</f>
        <v>0</v>
      </c>
      <c r="AR62" s="13">
        <f>$I$10*$AR$10</f>
        <v>0</v>
      </c>
      <c r="AS62" s="13">
        <f>$I$10*$AS$10</f>
        <v>0</v>
      </c>
      <c r="AT62" s="13">
        <f>$I$10*$AT$10</f>
        <v>0</v>
      </c>
      <c r="AU62" s="13">
        <f>$I$10*$AU$10</f>
        <v>447646.33507662622</v>
      </c>
      <c r="AV62" s="13">
        <f>$I$10*$AV$10</f>
        <v>0</v>
      </c>
      <c r="AW62" s="13">
        <f>$I$10*$AW$10</f>
        <v>0</v>
      </c>
      <c r="AX62" s="13">
        <f>$I$10*$AX$10</f>
        <v>237669.63219922423</v>
      </c>
      <c r="AY62" s="13">
        <f>$I$10*$AY$10</f>
        <v>0</v>
      </c>
      <c r="AZ62" s="13">
        <f>$I$10*$AZ$10</f>
        <v>0</v>
      </c>
      <c r="BA62" s="13">
        <f>$I$10*$BA$10</f>
        <v>0</v>
      </c>
      <c r="BB62" s="13">
        <f>$I$10*$BB$10</f>
        <v>0</v>
      </c>
      <c r="BC62" s="13">
        <f>$I$10*$BC$10</f>
        <v>0</v>
      </c>
      <c r="BD62" s="13">
        <f>$I$10*$BD$10</f>
        <v>0</v>
      </c>
    </row>
    <row r="63" spans="1:56" ht="11.25" customHeight="1" x14ac:dyDescent="0.3">
      <c r="A63" s="9" t="s">
        <v>33</v>
      </c>
      <c r="B63" s="9" t="s">
        <v>689</v>
      </c>
      <c r="C63" s="9" t="s">
        <v>690</v>
      </c>
      <c r="D63" s="9" t="s">
        <v>691</v>
      </c>
      <c r="E63" s="9" t="s">
        <v>692</v>
      </c>
      <c r="F63" s="9" t="s">
        <v>693</v>
      </c>
      <c r="G63" s="9" t="s">
        <v>695</v>
      </c>
      <c r="L63" s="13">
        <f>$I$11*$L$11</f>
        <v>0</v>
      </c>
      <c r="M63" s="13">
        <f>$I$11*$M$11</f>
        <v>326.05981953569835</v>
      </c>
      <c r="N63" s="13">
        <f ca="1">$I$11*$N$11</f>
        <v>0</v>
      </c>
      <c r="O63" s="13">
        <f>$I$11*$O$11</f>
        <v>0</v>
      </c>
      <c r="P63" s="13">
        <f>$I$11*$P$11</f>
        <v>0</v>
      </c>
      <c r="Q63" s="13">
        <f>$I$11*$Q$11</f>
        <v>39637.479229528777</v>
      </c>
      <c r="R63" s="13">
        <f>$I$11*$R$11</f>
        <v>7439.3525739323777</v>
      </c>
      <c r="S63" s="13">
        <f>$I$11*$S$11</f>
        <v>0</v>
      </c>
      <c r="T63" s="13">
        <f>$I$11*$T$11</f>
        <v>0</v>
      </c>
      <c r="U63" s="13">
        <f>$I$11*$U$11</f>
        <v>0</v>
      </c>
      <c r="V63" s="13">
        <f>$I$11*$V$11</f>
        <v>0</v>
      </c>
      <c r="W63" s="13">
        <f>$I$11*$W$11</f>
        <v>0</v>
      </c>
      <c r="X63" s="13">
        <f>$I$11*$X$11</f>
        <v>419792.43548193219</v>
      </c>
      <c r="Y63" s="13">
        <f>$I$11*$Y$11</f>
        <v>0</v>
      </c>
      <c r="Z63" s="13">
        <f>$I$11*$Z$11</f>
        <v>0</v>
      </c>
      <c r="AA63" s="13">
        <f>$I$11*$AA$11</f>
        <v>304369.3032476395</v>
      </c>
      <c r="AB63" s="13">
        <f ca="1">$I$11*$AB$11</f>
        <v>0</v>
      </c>
      <c r="AC63" s="13">
        <f ca="1">$I$11*$AC$11</f>
        <v>0</v>
      </c>
      <c r="AD63" s="13">
        <f>$I$11*$AD$11</f>
        <v>3930.5450614310771</v>
      </c>
      <c r="AE63" s="13">
        <f>$I$11*$AE$11</f>
        <v>0</v>
      </c>
      <c r="AF63" s="13">
        <f ca="1">$I$11*$AF$11</f>
        <v>0</v>
      </c>
      <c r="AG63" s="13">
        <f ca="1">$I$11*$AG$11</f>
        <v>0</v>
      </c>
      <c r="AI63" s="13">
        <f>$I$11*$AI$11</f>
        <v>0</v>
      </c>
      <c r="AJ63" s="13">
        <f>$I$11*$AJ$11</f>
        <v>378.88460946931292</v>
      </c>
      <c r="AK63" s="13">
        <f>$I$11*$AK$11</f>
        <v>0</v>
      </c>
      <c r="AL63" s="13">
        <f>$I$11*$AL$11</f>
        <v>0</v>
      </c>
      <c r="AM63" s="13">
        <f>$I$11*$AM$11</f>
        <v>0</v>
      </c>
      <c r="AN63" s="13">
        <f>$I$11*$AN$11</f>
        <v>34549.391785688676</v>
      </c>
      <c r="AO63" s="13">
        <f>$I$11*$AO$11</f>
        <v>6027.5449665991637</v>
      </c>
      <c r="AP63" s="13">
        <f>$I$11*$AP$11</f>
        <v>0</v>
      </c>
      <c r="AQ63" s="13">
        <f>$I$11*$AQ$11</f>
        <v>0</v>
      </c>
      <c r="AR63" s="13">
        <f>$I$11*$AR$11</f>
        <v>0</v>
      </c>
      <c r="AS63" s="13">
        <f>$I$11*$AS$11</f>
        <v>0</v>
      </c>
      <c r="AT63" s="13">
        <f>$I$11*$AT$11</f>
        <v>0</v>
      </c>
      <c r="AU63" s="13">
        <f>$I$11*$AU$11</f>
        <v>408586.70033019601</v>
      </c>
      <c r="AV63" s="13">
        <f>$I$11*$AV$11</f>
        <v>0</v>
      </c>
      <c r="AW63" s="13">
        <f>$I$11*$AW$11</f>
        <v>0</v>
      </c>
      <c r="AX63" s="13">
        <f>$I$11*$AX$11</f>
        <v>313654.83717875235</v>
      </c>
      <c r="AY63" s="13">
        <f>$I$11*$AY$11</f>
        <v>0</v>
      </c>
      <c r="AZ63" s="13">
        <f>$I$11*$AZ$11</f>
        <v>0</v>
      </c>
      <c r="BA63" s="13">
        <f>$I$11*$BA$11</f>
        <v>5609.7977106211565</v>
      </c>
      <c r="BB63" s="13">
        <f>$I$11*$BB$11</f>
        <v>0</v>
      </c>
      <c r="BC63" s="13">
        <f>$I$11*$BC$11</f>
        <v>0</v>
      </c>
      <c r="BD63" s="13">
        <f>$I$11*$BD$11</f>
        <v>0</v>
      </c>
    </row>
    <row r="64" spans="1:56" ht="11.25" customHeight="1" x14ac:dyDescent="0.3">
      <c r="A64" s="9" t="s">
        <v>33</v>
      </c>
      <c r="B64" s="9" t="s">
        <v>689</v>
      </c>
      <c r="C64" s="9" t="s">
        <v>690</v>
      </c>
      <c r="D64" s="9" t="s">
        <v>691</v>
      </c>
      <c r="E64" s="9" t="s">
        <v>692</v>
      </c>
      <c r="F64" s="9" t="s">
        <v>693</v>
      </c>
      <c r="G64" s="9" t="s">
        <v>696</v>
      </c>
      <c r="L64" s="13">
        <f>$I$12*$L$12</f>
        <v>0</v>
      </c>
      <c r="M64" s="13">
        <f>$I$12*$M$12</f>
        <v>4473.0947839986738</v>
      </c>
      <c r="N64" s="13">
        <f ca="1">$I$12*$N$12</f>
        <v>0</v>
      </c>
      <c r="O64" s="13">
        <f>$I$12*$O$12</f>
        <v>0</v>
      </c>
      <c r="P64" s="13">
        <f>$I$12*$P$12</f>
        <v>0</v>
      </c>
      <c r="Q64" s="13">
        <f>$I$12*$Q$12</f>
        <v>543772.00430563686</v>
      </c>
      <c r="R64" s="13">
        <f>$I$12*$R$12</f>
        <v>102057.7427852644</v>
      </c>
      <c r="S64" s="13">
        <f>$I$12*$S$12</f>
        <v>0</v>
      </c>
      <c r="T64" s="13">
        <f>$I$12*$T$12</f>
        <v>0</v>
      </c>
      <c r="U64" s="13">
        <f>$I$12*$U$12</f>
        <v>0</v>
      </c>
      <c r="V64" s="13">
        <f>$I$12*$V$12</f>
        <v>0</v>
      </c>
      <c r="W64" s="13">
        <f>$I$12*$W$12</f>
        <v>0</v>
      </c>
      <c r="X64" s="13">
        <f>$I$12*$X$12</f>
        <v>0</v>
      </c>
      <c r="Y64" s="13">
        <f>$I$12*$Y$12</f>
        <v>0</v>
      </c>
      <c r="Z64" s="13">
        <f>$I$12*$Z$12</f>
        <v>0</v>
      </c>
      <c r="AA64" s="13">
        <f>$I$12*$AA$12</f>
        <v>0</v>
      </c>
      <c r="AB64" s="13">
        <f ca="1">$I$12*$AB$12</f>
        <v>0</v>
      </c>
      <c r="AC64" s="13">
        <f ca="1">$I$12*$AC$12</f>
        <v>0</v>
      </c>
      <c r="AD64" s="13">
        <f>$I$12*$AD$12</f>
        <v>53921.702580817946</v>
      </c>
      <c r="AE64" s="13">
        <f>$I$12*$AE$12</f>
        <v>0</v>
      </c>
      <c r="AF64" s="13">
        <f ca="1">$I$12*$AF$12</f>
        <v>0</v>
      </c>
      <c r="AG64" s="13">
        <f ca="1">$I$12*$AG$12</f>
        <v>0</v>
      </c>
      <c r="AI64" s="13">
        <f>$I$12*$AI$12</f>
        <v>0</v>
      </c>
      <c r="AJ64" s="13">
        <f>$I$12*$AJ$12</f>
        <v>5197.7786553642072</v>
      </c>
      <c r="AK64" s="13">
        <f>$I$12*$AK$12</f>
        <v>0</v>
      </c>
      <c r="AL64" s="13">
        <f>$I$12*$AL$12</f>
        <v>0</v>
      </c>
      <c r="AM64" s="13">
        <f>$I$12*$AM$12</f>
        <v>0</v>
      </c>
      <c r="AN64" s="13">
        <f>$I$12*$AN$12</f>
        <v>473970.40336633899</v>
      </c>
      <c r="AO64" s="13">
        <f>$I$12*$AO$12</f>
        <v>82689.673290027364</v>
      </c>
      <c r="AP64" s="13">
        <f>$I$12*$AP$12</f>
        <v>0</v>
      </c>
      <c r="AQ64" s="13">
        <f>$I$12*$AQ$12</f>
        <v>0</v>
      </c>
      <c r="AR64" s="13">
        <f>$I$12*$AR$12</f>
        <v>0</v>
      </c>
      <c r="AS64" s="13">
        <f>$I$12*$AS$12</f>
        <v>0</v>
      </c>
      <c r="AT64" s="13">
        <f>$I$12*$AT$12</f>
        <v>0</v>
      </c>
      <c r="AU64" s="13">
        <f>$I$12*$AU$12</f>
        <v>0</v>
      </c>
      <c r="AV64" s="13">
        <f>$I$12*$AV$12</f>
        <v>0</v>
      </c>
      <c r="AW64" s="13">
        <f>$I$12*$AW$12</f>
        <v>0</v>
      </c>
      <c r="AX64" s="13">
        <f>$I$12*$AX$12</f>
        <v>0</v>
      </c>
      <c r="AY64" s="13">
        <f>$I$12*$AY$12</f>
        <v>0</v>
      </c>
      <c r="AZ64" s="13">
        <f>$I$12*$AZ$12</f>
        <v>0</v>
      </c>
      <c r="BA64" s="13">
        <f>$I$12*$BA$12</f>
        <v>76958.752275577135</v>
      </c>
      <c r="BB64" s="13">
        <f>$I$12*$BB$12</f>
        <v>0</v>
      </c>
      <c r="BC64" s="13">
        <f>$I$12*$BC$12</f>
        <v>0</v>
      </c>
      <c r="BD64" s="13">
        <f>$I$12*$BD$12</f>
        <v>0</v>
      </c>
    </row>
    <row r="65" spans="1:56" ht="11.25" customHeight="1" x14ac:dyDescent="0.3">
      <c r="A65" s="9" t="s">
        <v>33</v>
      </c>
      <c r="B65" s="9" t="s">
        <v>689</v>
      </c>
      <c r="C65" s="9" t="s">
        <v>690</v>
      </c>
      <c r="D65" s="9" t="s">
        <v>691</v>
      </c>
      <c r="E65" s="9" t="s">
        <v>697</v>
      </c>
      <c r="F65" s="9" t="s">
        <v>698</v>
      </c>
      <c r="G65" s="9" t="s">
        <v>699</v>
      </c>
      <c r="L65" s="13">
        <f>$I$13*$L$13</f>
        <v>0</v>
      </c>
      <c r="M65" s="13">
        <f>$I$13*$M$13</f>
        <v>0</v>
      </c>
      <c r="N65" s="13">
        <f ca="1">$I$13*$N$13</f>
        <v>0</v>
      </c>
      <c r="O65" s="13">
        <f>$I$13*$O$13</f>
        <v>0</v>
      </c>
      <c r="P65" s="13">
        <f>$I$13*$P$13</f>
        <v>0</v>
      </c>
      <c r="Q65" s="13">
        <f>$I$13*$Q$13</f>
        <v>0</v>
      </c>
      <c r="R65" s="13">
        <f>$I$13*$R$13</f>
        <v>0</v>
      </c>
      <c r="S65" s="13">
        <f>$I$13*$S$13</f>
        <v>0</v>
      </c>
      <c r="T65" s="13">
        <f>$I$13*$T$13</f>
        <v>0</v>
      </c>
      <c r="U65" s="13">
        <f>$I$13*$U$13</f>
        <v>0</v>
      </c>
      <c r="V65" s="13">
        <f>$I$13*$V$13</f>
        <v>0</v>
      </c>
      <c r="W65" s="13">
        <f>$I$13*$W$13</f>
        <v>0</v>
      </c>
      <c r="X65" s="13">
        <f>$I$13*$X$13</f>
        <v>0</v>
      </c>
      <c r="Y65" s="13">
        <f>$I$13*$Y$13</f>
        <v>0</v>
      </c>
      <c r="Z65" s="13">
        <f>$I$13*$Z$13</f>
        <v>0</v>
      </c>
      <c r="AA65" s="13">
        <f>$I$13*$AA$13</f>
        <v>0</v>
      </c>
      <c r="AB65" s="13">
        <f ca="1">$I$13*$AB$13</f>
        <v>0</v>
      </c>
      <c r="AC65" s="13">
        <f ca="1">$I$13*$AC$13</f>
        <v>0</v>
      </c>
      <c r="AD65" s="13">
        <f>$I$13*$AD$13</f>
        <v>0</v>
      </c>
      <c r="AE65" s="13">
        <f>$I$13*$AE$13</f>
        <v>0</v>
      </c>
      <c r="AF65" s="13">
        <f ca="1">$I$13*$AF$13</f>
        <v>0</v>
      </c>
      <c r="AG65" s="13">
        <f ca="1">$I$13*$AG$13</f>
        <v>0</v>
      </c>
      <c r="AI65" s="13">
        <f>$I$13*$AI$13</f>
        <v>0</v>
      </c>
      <c r="AJ65" s="13">
        <f>$I$13*$AJ$13</f>
        <v>0</v>
      </c>
      <c r="AK65" s="13">
        <f>$I$13*$AK$13</f>
        <v>0</v>
      </c>
      <c r="AL65" s="13">
        <f>$I$13*$AL$13</f>
        <v>0</v>
      </c>
      <c r="AM65" s="13">
        <f>$I$13*$AM$13</f>
        <v>0</v>
      </c>
      <c r="AN65" s="13">
        <f>$I$13*$AN$13</f>
        <v>0</v>
      </c>
      <c r="AO65" s="13">
        <f>$I$13*$AO$13</f>
        <v>0</v>
      </c>
      <c r="AP65" s="13">
        <f>$I$13*$AP$13</f>
        <v>0</v>
      </c>
      <c r="AQ65" s="13">
        <f>$I$13*$AQ$13</f>
        <v>0</v>
      </c>
      <c r="AR65" s="13">
        <f>$I$13*$AR$13</f>
        <v>0</v>
      </c>
      <c r="AS65" s="13">
        <f>$I$13*$AS$13</f>
        <v>0</v>
      </c>
      <c r="AT65" s="13">
        <f>$I$13*$AT$13</f>
        <v>0</v>
      </c>
      <c r="AU65" s="13">
        <f>$I$13*$AU$13</f>
        <v>0</v>
      </c>
      <c r="AV65" s="13">
        <f>$I$13*$AV$13</f>
        <v>0</v>
      </c>
      <c r="AW65" s="13">
        <f>$I$13*$AW$13</f>
        <v>0</v>
      </c>
      <c r="AX65" s="13">
        <f>$I$13*$AX$13</f>
        <v>0</v>
      </c>
      <c r="AY65" s="13">
        <f>$I$13*$AY$13</f>
        <v>0</v>
      </c>
      <c r="AZ65" s="13">
        <f>$I$13*$AZ$13</f>
        <v>0</v>
      </c>
      <c r="BA65" s="13">
        <f>$I$13*$BA$13</f>
        <v>0</v>
      </c>
      <c r="BB65" s="13">
        <f>$I$13*$BB$13</f>
        <v>0</v>
      </c>
      <c r="BC65" s="13">
        <f>$I$13*$BC$13</f>
        <v>0</v>
      </c>
      <c r="BD65" s="13">
        <f>$I$13*$BD$13</f>
        <v>0</v>
      </c>
    </row>
    <row r="66" spans="1:56" ht="11.25" customHeight="1" x14ac:dyDescent="0.3">
      <c r="A66" s="9" t="s">
        <v>33</v>
      </c>
      <c r="B66" s="9" t="s">
        <v>689</v>
      </c>
      <c r="C66" s="9" t="s">
        <v>690</v>
      </c>
      <c r="D66" s="9" t="s">
        <v>691</v>
      </c>
      <c r="E66" s="9" t="s">
        <v>697</v>
      </c>
      <c r="F66" s="9" t="s">
        <v>698</v>
      </c>
      <c r="G66" s="9" t="s">
        <v>700</v>
      </c>
      <c r="L66" s="13">
        <f>$I$14*$L$14</f>
        <v>0</v>
      </c>
      <c r="M66" s="13">
        <f>$I$14*$M$14</f>
        <v>0</v>
      </c>
      <c r="N66" s="13">
        <f ca="1">$I$14*$N$14</f>
        <v>0</v>
      </c>
      <c r="O66" s="13">
        <f>$I$14*$O$14</f>
        <v>0</v>
      </c>
      <c r="P66" s="13">
        <f>$I$14*$P$14</f>
        <v>0</v>
      </c>
      <c r="Q66" s="13">
        <f>$I$14*$Q$14</f>
        <v>0</v>
      </c>
      <c r="R66" s="13">
        <f>$I$14*$R$14</f>
        <v>0</v>
      </c>
      <c r="S66" s="13">
        <f>$I$14*$S$14</f>
        <v>0</v>
      </c>
      <c r="T66" s="13">
        <f>$I$14*$T$14</f>
        <v>0</v>
      </c>
      <c r="U66" s="13">
        <f>$I$14*$U$14</f>
        <v>0</v>
      </c>
      <c r="V66" s="13">
        <f>$I$14*$V$14</f>
        <v>0</v>
      </c>
      <c r="W66" s="13">
        <f>$I$14*$W$14</f>
        <v>0</v>
      </c>
      <c r="X66" s="13">
        <f>$I$14*$X$14</f>
        <v>0</v>
      </c>
      <c r="Y66" s="13">
        <f>$I$14*$Y$14</f>
        <v>0</v>
      </c>
      <c r="Z66" s="13">
        <f>$I$14*$Z$14</f>
        <v>0</v>
      </c>
      <c r="AA66" s="13">
        <f>$I$14*$AA$14</f>
        <v>0</v>
      </c>
      <c r="AB66" s="13">
        <f ca="1">$I$14*$AB$14</f>
        <v>0</v>
      </c>
      <c r="AC66" s="13">
        <f ca="1">$I$14*$AC$14</f>
        <v>0</v>
      </c>
      <c r="AD66" s="13">
        <f>$I$14*$AD$14</f>
        <v>0</v>
      </c>
      <c r="AE66" s="13">
        <f>$I$14*$AE$14</f>
        <v>0</v>
      </c>
      <c r="AF66" s="13">
        <f ca="1">$I$14*$AF$14</f>
        <v>0</v>
      </c>
      <c r="AG66" s="13">
        <f ca="1">$I$14*$AG$14</f>
        <v>0</v>
      </c>
      <c r="AI66" s="13">
        <f>$I$14*$AI$14</f>
        <v>0</v>
      </c>
      <c r="AJ66" s="13">
        <f>$I$14*$AJ$14</f>
        <v>0</v>
      </c>
      <c r="AK66" s="13">
        <f>$I$14*$AK$14</f>
        <v>0</v>
      </c>
      <c r="AL66" s="13">
        <f>$I$14*$AL$14</f>
        <v>0</v>
      </c>
      <c r="AM66" s="13">
        <f>$I$14*$AM$14</f>
        <v>0</v>
      </c>
      <c r="AN66" s="13">
        <f>$I$14*$AN$14</f>
        <v>0</v>
      </c>
      <c r="AO66" s="13">
        <f>$I$14*$AO$14</f>
        <v>0</v>
      </c>
      <c r="AP66" s="13">
        <f>$I$14*$AP$14</f>
        <v>0</v>
      </c>
      <c r="AQ66" s="13">
        <f>$I$14*$AQ$14</f>
        <v>0</v>
      </c>
      <c r="AR66" s="13">
        <f>$I$14*$AR$14</f>
        <v>0</v>
      </c>
      <c r="AS66" s="13">
        <f>$I$14*$AS$14</f>
        <v>0</v>
      </c>
      <c r="AT66" s="13">
        <f>$I$14*$AT$14</f>
        <v>0</v>
      </c>
      <c r="AU66" s="13">
        <f>$I$14*$AU$14</f>
        <v>0</v>
      </c>
      <c r="AV66" s="13">
        <f>$I$14*$AV$14</f>
        <v>0</v>
      </c>
      <c r="AW66" s="13">
        <f>$I$14*$AW$14</f>
        <v>0</v>
      </c>
      <c r="AX66" s="13">
        <f>$I$14*$AX$14</f>
        <v>0</v>
      </c>
      <c r="AY66" s="13">
        <f>$I$14*$AY$14</f>
        <v>0</v>
      </c>
      <c r="AZ66" s="13">
        <f>$I$14*$AZ$14</f>
        <v>0</v>
      </c>
      <c r="BA66" s="13">
        <f>$I$14*$BA$14</f>
        <v>0</v>
      </c>
      <c r="BB66" s="13">
        <f>$I$14*$BB$14</f>
        <v>0</v>
      </c>
      <c r="BC66" s="13">
        <f>$I$14*$BC$14</f>
        <v>0</v>
      </c>
      <c r="BD66" s="13">
        <f>$I$14*$BD$14</f>
        <v>0</v>
      </c>
    </row>
    <row r="67" spans="1:56" ht="11.25" customHeight="1" x14ac:dyDescent="0.3">
      <c r="A67" s="9" t="s">
        <v>77</v>
      </c>
      <c r="B67" s="9" t="s">
        <v>701</v>
      </c>
      <c r="C67" s="9" t="s">
        <v>702</v>
      </c>
      <c r="D67" s="9" t="s">
        <v>703</v>
      </c>
      <c r="E67" s="9" t="s">
        <v>704</v>
      </c>
      <c r="F67" s="9" t="s">
        <v>705</v>
      </c>
      <c r="G67" s="9" t="s">
        <v>706</v>
      </c>
      <c r="L67" s="13">
        <f>$I$15*$L$15</f>
        <v>0</v>
      </c>
      <c r="M67" s="13">
        <f>$I$15*$M$15</f>
        <v>9.7153839857044206E-11</v>
      </c>
      <c r="N67" s="13">
        <f ca="1">$I$15*$N$15</f>
        <v>0</v>
      </c>
      <c r="O67" s="13">
        <f>$I$15*$O$15</f>
        <v>0</v>
      </c>
      <c r="P67" s="13">
        <f>$I$15*$P$15</f>
        <v>0</v>
      </c>
      <c r="Q67" s="13">
        <f>$I$15*$Q$15</f>
        <v>0</v>
      </c>
      <c r="R67" s="13">
        <f>$I$15*$R$15</f>
        <v>0</v>
      </c>
      <c r="S67" s="13">
        <f>$I$15*$S$15</f>
        <v>0</v>
      </c>
      <c r="T67" s="13">
        <f>$I$15*$T$15</f>
        <v>0</v>
      </c>
      <c r="U67" s="13">
        <f>$I$15*$U$15</f>
        <v>0</v>
      </c>
      <c r="V67" s="13">
        <f>$I$15*$V$15</f>
        <v>0</v>
      </c>
      <c r="W67" s="13">
        <f>$I$15*$W$15</f>
        <v>0</v>
      </c>
      <c r="X67" s="13">
        <f>$I$15*$X$15</f>
        <v>0</v>
      </c>
      <c r="Y67" s="13">
        <f>$I$15*$Y$15</f>
        <v>0</v>
      </c>
      <c r="Z67" s="13">
        <f>$I$15*$Z$15</f>
        <v>0</v>
      </c>
      <c r="AA67" s="13">
        <f>$I$15*$AA$15</f>
        <v>2.9392628555599424E-8</v>
      </c>
      <c r="AB67" s="13">
        <f ca="1">$I$15*$AB$15</f>
        <v>0</v>
      </c>
      <c r="AC67" s="13">
        <f ca="1">$I$15*$AC$15</f>
        <v>0</v>
      </c>
      <c r="AD67" s="13">
        <f>$I$15*$AD$15</f>
        <v>0</v>
      </c>
      <c r="AE67" s="13">
        <f>$I$15*$AE$15</f>
        <v>0</v>
      </c>
      <c r="AF67" s="13">
        <f ca="1">$I$15*$AF$15</f>
        <v>0</v>
      </c>
      <c r="AG67" s="13">
        <f ca="1">$I$15*$AG$15</f>
        <v>0</v>
      </c>
      <c r="AI67" s="13">
        <f>$I$15*$AI$15</f>
        <v>0</v>
      </c>
      <c r="AJ67" s="13">
        <f>$I$15*$AJ$15</f>
        <v>1.17176330603728E-10</v>
      </c>
      <c r="AK67" s="13">
        <f>$I$15*$AK$15</f>
        <v>0</v>
      </c>
      <c r="AL67" s="13">
        <f>$I$15*$AL$15</f>
        <v>0</v>
      </c>
      <c r="AM67" s="13">
        <f>$I$15*$AM$15</f>
        <v>0</v>
      </c>
      <c r="AN67" s="13">
        <f>$I$15*$AN$15</f>
        <v>0</v>
      </c>
      <c r="AO67" s="13">
        <f>$I$15*$AO$15</f>
        <v>0</v>
      </c>
      <c r="AP67" s="13">
        <f>$I$15*$AP$15</f>
        <v>0</v>
      </c>
      <c r="AQ67" s="13">
        <f>$I$15*$AQ$15</f>
        <v>0</v>
      </c>
      <c r="AR67" s="13">
        <f>$I$15*$AR$15</f>
        <v>0</v>
      </c>
      <c r="AS67" s="13">
        <f>$I$15*$AS$15</f>
        <v>0</v>
      </c>
      <c r="AT67" s="13">
        <f>$I$15*$AT$15</f>
        <v>0</v>
      </c>
      <c r="AU67" s="13">
        <f>$I$15*$AU$15</f>
        <v>0</v>
      </c>
      <c r="AV67" s="13">
        <f>$I$15*$AV$15</f>
        <v>0</v>
      </c>
      <c r="AW67" s="13">
        <f>$I$15*$AW$15</f>
        <v>0</v>
      </c>
      <c r="AX67" s="13">
        <f>$I$15*$AX$15</f>
        <v>3.0289301701028701E-8</v>
      </c>
      <c r="AY67" s="13">
        <f>$I$15*$AY$15</f>
        <v>0</v>
      </c>
      <c r="AZ67" s="13">
        <f>$I$15*$AZ$15</f>
        <v>0</v>
      </c>
      <c r="BA67" s="13">
        <f>$I$15*$BA$15</f>
        <v>0</v>
      </c>
      <c r="BB67" s="13">
        <f>$I$15*$BB$15</f>
        <v>0</v>
      </c>
      <c r="BC67" s="13">
        <f>$I$15*$BC$15</f>
        <v>0</v>
      </c>
      <c r="BD67" s="13">
        <f>$I$15*$BD$15</f>
        <v>0</v>
      </c>
    </row>
    <row r="68" spans="1:56" ht="11.25" customHeight="1" x14ac:dyDescent="0.3">
      <c r="A68" s="9" t="s">
        <v>77</v>
      </c>
      <c r="B68" s="9" t="s">
        <v>701</v>
      </c>
      <c r="C68" s="9" t="s">
        <v>702</v>
      </c>
      <c r="D68" s="9" t="s">
        <v>703</v>
      </c>
      <c r="E68" s="9" t="s">
        <v>707</v>
      </c>
      <c r="F68" s="9" t="s">
        <v>708</v>
      </c>
      <c r="G68" s="9" t="s">
        <v>709</v>
      </c>
      <c r="L68" s="13">
        <f>$I$16*$L$16</f>
        <v>0</v>
      </c>
      <c r="M68" s="13">
        <f>$I$16*$M$16</f>
        <v>9.7153839857044206E-11</v>
      </c>
      <c r="N68" s="13">
        <f ca="1">$I$16*$N$16</f>
        <v>0</v>
      </c>
      <c r="O68" s="13">
        <f>$I$16*$O$16</f>
        <v>0</v>
      </c>
      <c r="P68" s="13">
        <f>$I$16*$P$16</f>
        <v>0</v>
      </c>
      <c r="Q68" s="13">
        <f>$I$16*$Q$16</f>
        <v>0</v>
      </c>
      <c r="R68" s="13">
        <f>$I$16*$R$16</f>
        <v>0</v>
      </c>
      <c r="S68" s="13">
        <f>$I$16*$S$16</f>
        <v>0</v>
      </c>
      <c r="T68" s="13">
        <f>$I$16*$T$16</f>
        <v>0</v>
      </c>
      <c r="U68" s="13">
        <f>$I$16*$U$16</f>
        <v>0</v>
      </c>
      <c r="V68" s="13">
        <f>$I$16*$V$16</f>
        <v>0</v>
      </c>
      <c r="W68" s="13">
        <f>$I$16*$W$16</f>
        <v>0</v>
      </c>
      <c r="X68" s="13">
        <f>$I$16*$X$16</f>
        <v>0</v>
      </c>
      <c r="Y68" s="13">
        <f>$I$16*$Y$16</f>
        <v>0</v>
      </c>
      <c r="Z68" s="13">
        <f>$I$16*$Z$16</f>
        <v>0</v>
      </c>
      <c r="AA68" s="13">
        <f>$I$16*$AA$16</f>
        <v>5.980049309728423E-8</v>
      </c>
      <c r="AB68" s="13">
        <f ca="1">$I$16*$AB$16</f>
        <v>0</v>
      </c>
      <c r="AC68" s="13">
        <f ca="1">$I$16*$AC$16</f>
        <v>0</v>
      </c>
      <c r="AD68" s="13">
        <f>$I$16*$AD$16</f>
        <v>0</v>
      </c>
      <c r="AE68" s="13">
        <f>$I$16*$AE$16</f>
        <v>0</v>
      </c>
      <c r="AF68" s="13">
        <f ca="1">$I$16*$AF$16</f>
        <v>0</v>
      </c>
      <c r="AG68" s="13">
        <f ca="1">$I$16*$AG$16</f>
        <v>0</v>
      </c>
      <c r="AI68" s="13">
        <f>$I$16*$AI$16</f>
        <v>0</v>
      </c>
      <c r="AJ68" s="13">
        <f>$I$16*$AJ$16</f>
        <v>1.17176330603728E-10</v>
      </c>
      <c r="AK68" s="13">
        <f>$I$16*$AK$16</f>
        <v>0</v>
      </c>
      <c r="AL68" s="13">
        <f>$I$16*$AL$16</f>
        <v>0</v>
      </c>
      <c r="AM68" s="13">
        <f>$I$16*$AM$16</f>
        <v>0</v>
      </c>
      <c r="AN68" s="13">
        <f>$I$16*$AN$16</f>
        <v>0</v>
      </c>
      <c r="AO68" s="13">
        <f>$I$16*$AO$16</f>
        <v>0</v>
      </c>
      <c r="AP68" s="13">
        <f>$I$16*$AP$16</f>
        <v>0</v>
      </c>
      <c r="AQ68" s="13">
        <f>$I$16*$AQ$16</f>
        <v>0</v>
      </c>
      <c r="AR68" s="13">
        <f>$I$16*$AR$16</f>
        <v>0</v>
      </c>
      <c r="AS68" s="13">
        <f>$I$16*$AS$16</f>
        <v>0</v>
      </c>
      <c r="AT68" s="13">
        <f>$I$16*$AT$16</f>
        <v>0</v>
      </c>
      <c r="AU68" s="13">
        <f>$I$16*$AU$16</f>
        <v>0</v>
      </c>
      <c r="AV68" s="13">
        <f>$I$16*$AV$16</f>
        <v>0</v>
      </c>
      <c r="AW68" s="13">
        <f>$I$16*$AW$16</f>
        <v>0</v>
      </c>
      <c r="AX68" s="13">
        <f>$I$16*$AX$16</f>
        <v>6.1624841861439102E-8</v>
      </c>
      <c r="AY68" s="13">
        <f>$I$16*$AY$16</f>
        <v>0</v>
      </c>
      <c r="AZ68" s="13">
        <f>$I$16*$AZ$16</f>
        <v>0</v>
      </c>
      <c r="BA68" s="13">
        <f>$I$16*$BA$16</f>
        <v>0</v>
      </c>
      <c r="BB68" s="13">
        <f>$I$16*$BB$16</f>
        <v>0</v>
      </c>
      <c r="BC68" s="13">
        <f>$I$16*$BC$16</f>
        <v>0</v>
      </c>
      <c r="BD68" s="13">
        <f>$I$16*$BD$16</f>
        <v>0</v>
      </c>
    </row>
    <row r="69" spans="1:56" ht="11.25" customHeight="1" x14ac:dyDescent="0.3">
      <c r="A69" s="9" t="s">
        <v>22</v>
      </c>
      <c r="B69" s="9" t="s">
        <v>710</v>
      </c>
      <c r="C69" s="9" t="s">
        <v>711</v>
      </c>
      <c r="D69" s="9" t="s">
        <v>712</v>
      </c>
      <c r="E69" s="9" t="s">
        <v>713</v>
      </c>
      <c r="F69" s="9" t="s">
        <v>714</v>
      </c>
      <c r="G69" s="9" t="s">
        <v>715</v>
      </c>
      <c r="L69" s="13">
        <f>$I$17*$L$17</f>
        <v>0</v>
      </c>
      <c r="M69" s="13">
        <f>$I$17*$M$17</f>
        <v>0</v>
      </c>
      <c r="N69" s="13">
        <f ca="1">$I$17*$N$17</f>
        <v>0</v>
      </c>
      <c r="O69" s="13">
        <f>$I$17*$O$17</f>
        <v>0</v>
      </c>
      <c r="P69" s="13">
        <f>$I$17*$P$17</f>
        <v>0</v>
      </c>
      <c r="Q69" s="13">
        <f>$I$17*$Q$17</f>
        <v>0</v>
      </c>
      <c r="R69" s="13">
        <f>$I$17*$R$17</f>
        <v>0</v>
      </c>
      <c r="S69" s="13">
        <f>$I$17*$S$17</f>
        <v>0</v>
      </c>
      <c r="T69" s="13">
        <f>$I$17*$T$17</f>
        <v>0</v>
      </c>
      <c r="U69" s="13">
        <f>$I$17*$U$17</f>
        <v>0</v>
      </c>
      <c r="V69" s="13">
        <f>$I$17*$V$17</f>
        <v>0</v>
      </c>
      <c r="W69" s="13">
        <f>$I$17*$W$17</f>
        <v>0</v>
      </c>
      <c r="X69" s="13">
        <f>$I$17*$X$17</f>
        <v>0</v>
      </c>
      <c r="Y69" s="13">
        <f>$I$17*$Y$17</f>
        <v>0</v>
      </c>
      <c r="Z69" s="13">
        <f>$I$17*$Z$17</f>
        <v>0</v>
      </c>
      <c r="AA69" s="13">
        <f>$I$17*$AA$17</f>
        <v>0</v>
      </c>
      <c r="AB69" s="13">
        <f ca="1">$I$17*$AB$17</f>
        <v>0</v>
      </c>
      <c r="AC69" s="13">
        <f ca="1">$I$17*$AC$17</f>
        <v>0</v>
      </c>
      <c r="AD69" s="13">
        <f>$I$17*$AD$17</f>
        <v>0</v>
      </c>
      <c r="AE69" s="13">
        <f>$I$17*$AE$17</f>
        <v>0</v>
      </c>
      <c r="AF69" s="13">
        <f ca="1">$I$17*$AF$17</f>
        <v>0</v>
      </c>
      <c r="AG69" s="13">
        <f ca="1">$I$17*$AG$17</f>
        <v>0</v>
      </c>
      <c r="AI69" s="13">
        <f>$I$17*$AI$17</f>
        <v>0</v>
      </c>
      <c r="AJ69" s="13">
        <f>$I$17*$AJ$17</f>
        <v>0</v>
      </c>
      <c r="AK69" s="13">
        <f>$I$17*$AK$17</f>
        <v>0</v>
      </c>
      <c r="AL69" s="13">
        <f>$I$17*$AL$17</f>
        <v>0</v>
      </c>
      <c r="AM69" s="13">
        <f>$I$17*$AM$17</f>
        <v>0</v>
      </c>
      <c r="AN69" s="13">
        <f>$I$17*$AN$17</f>
        <v>0</v>
      </c>
      <c r="AO69" s="13">
        <f>$I$17*$AO$17</f>
        <v>0</v>
      </c>
      <c r="AP69" s="13">
        <f>$I$17*$AP$17</f>
        <v>0</v>
      </c>
      <c r="AQ69" s="13">
        <f>$I$17*$AQ$17</f>
        <v>0</v>
      </c>
      <c r="AR69" s="13">
        <f>$I$17*$AR$17</f>
        <v>0</v>
      </c>
      <c r="AS69" s="13">
        <f>$I$17*$AS$17</f>
        <v>0</v>
      </c>
      <c r="AT69" s="13">
        <f>$I$17*$AT$17</f>
        <v>0</v>
      </c>
      <c r="AU69" s="13">
        <f>$I$17*$AU$17</f>
        <v>0</v>
      </c>
      <c r="AV69" s="13">
        <f>$I$17*$AV$17</f>
        <v>0</v>
      </c>
      <c r="AW69" s="13">
        <f>$I$17*$AW$17</f>
        <v>0</v>
      </c>
      <c r="AX69" s="13">
        <f>$I$17*$AX$17</f>
        <v>0</v>
      </c>
      <c r="AY69" s="13">
        <f>$I$17*$AY$17</f>
        <v>0</v>
      </c>
      <c r="AZ69" s="13">
        <f>$I$17*$AZ$17</f>
        <v>0</v>
      </c>
      <c r="BA69" s="13">
        <f>$I$17*$BA$17</f>
        <v>0</v>
      </c>
      <c r="BB69" s="13">
        <f>$I$17*$BB$17</f>
        <v>0</v>
      </c>
      <c r="BC69" s="13">
        <f>$I$17*$BC$17</f>
        <v>0</v>
      </c>
      <c r="BD69" s="13">
        <f>$I$17*$BD$17</f>
        <v>0</v>
      </c>
    </row>
    <row r="70" spans="1:56" ht="11.25" customHeight="1" x14ac:dyDescent="0.3">
      <c r="A70" s="9" t="s">
        <v>22</v>
      </c>
      <c r="B70" s="9" t="s">
        <v>710</v>
      </c>
      <c r="C70" s="9" t="s">
        <v>711</v>
      </c>
      <c r="D70" s="9" t="s">
        <v>712</v>
      </c>
      <c r="E70" s="9" t="s">
        <v>713</v>
      </c>
      <c r="F70" s="9" t="s">
        <v>714</v>
      </c>
      <c r="G70" s="9" t="s">
        <v>716</v>
      </c>
      <c r="L70" s="13">
        <f>$I$18*$L$18</f>
        <v>0</v>
      </c>
      <c r="M70" s="13">
        <f>$I$18*$M$18</f>
        <v>0</v>
      </c>
      <c r="N70" s="13">
        <f ca="1">$I$18*$N$18</f>
        <v>0</v>
      </c>
      <c r="O70" s="13">
        <f>$I$18*$O$18</f>
        <v>0</v>
      </c>
      <c r="P70" s="13">
        <f>$I$18*$P$18</f>
        <v>0</v>
      </c>
      <c r="Q70" s="13">
        <f>$I$18*$Q$18</f>
        <v>0</v>
      </c>
      <c r="R70" s="13">
        <f>$I$18*$R$18</f>
        <v>0</v>
      </c>
      <c r="S70" s="13">
        <f>$I$18*$S$18</f>
        <v>0</v>
      </c>
      <c r="T70" s="13">
        <f>$I$18*$T$18</f>
        <v>0</v>
      </c>
      <c r="U70" s="13">
        <f>$I$18*$U$18</f>
        <v>0</v>
      </c>
      <c r="V70" s="13">
        <f>$I$18*$V$18</f>
        <v>0</v>
      </c>
      <c r="W70" s="13">
        <f>$I$18*$W$18</f>
        <v>0</v>
      </c>
      <c r="X70" s="13">
        <f>$I$18*$X$18</f>
        <v>0</v>
      </c>
      <c r="Y70" s="13">
        <f>$I$18*$Y$18</f>
        <v>0</v>
      </c>
      <c r="Z70" s="13">
        <f>$I$18*$Z$18</f>
        <v>0</v>
      </c>
      <c r="AA70" s="13">
        <f>$I$18*$AA$18</f>
        <v>0</v>
      </c>
      <c r="AB70" s="13">
        <f ca="1">$I$18*$AB$18</f>
        <v>0</v>
      </c>
      <c r="AC70" s="13">
        <f ca="1">$I$18*$AC$18</f>
        <v>0</v>
      </c>
      <c r="AD70" s="13">
        <f>$I$18*$AD$18</f>
        <v>0</v>
      </c>
      <c r="AE70" s="13">
        <f>$I$18*$AE$18</f>
        <v>0</v>
      </c>
      <c r="AF70" s="13">
        <f ca="1">$I$18*$AF$18</f>
        <v>0</v>
      </c>
      <c r="AG70" s="13">
        <f ca="1">$I$18*$AG$18</f>
        <v>0</v>
      </c>
      <c r="AI70" s="13">
        <f>$I$18*$AI$18</f>
        <v>0</v>
      </c>
      <c r="AJ70" s="13">
        <f>$I$18*$AJ$18</f>
        <v>0</v>
      </c>
      <c r="AK70" s="13">
        <f>$I$18*$AK$18</f>
        <v>0</v>
      </c>
      <c r="AL70" s="13">
        <f>$I$18*$AL$18</f>
        <v>0</v>
      </c>
      <c r="AM70" s="13">
        <f>$I$18*$AM$18</f>
        <v>0</v>
      </c>
      <c r="AN70" s="13">
        <f>$I$18*$AN$18</f>
        <v>0</v>
      </c>
      <c r="AO70" s="13">
        <f>$I$18*$AO$18</f>
        <v>0</v>
      </c>
      <c r="AP70" s="13">
        <f>$I$18*$AP$18</f>
        <v>0</v>
      </c>
      <c r="AQ70" s="13">
        <f>$I$18*$AQ$18</f>
        <v>0</v>
      </c>
      <c r="AR70" s="13">
        <f>$I$18*$AR$18</f>
        <v>0</v>
      </c>
      <c r="AS70" s="13">
        <f>$I$18*$AS$18</f>
        <v>0</v>
      </c>
      <c r="AT70" s="13">
        <f>$I$18*$AT$18</f>
        <v>0</v>
      </c>
      <c r="AU70" s="13">
        <f>$I$18*$AU$18</f>
        <v>0</v>
      </c>
      <c r="AV70" s="13">
        <f>$I$18*$AV$18</f>
        <v>0</v>
      </c>
      <c r="AW70" s="13">
        <f>$I$18*$AW$18</f>
        <v>0</v>
      </c>
      <c r="AX70" s="13">
        <f>$I$18*$AX$18</f>
        <v>0</v>
      </c>
      <c r="AY70" s="13">
        <f>$I$18*$AY$18</f>
        <v>0</v>
      </c>
      <c r="AZ70" s="13">
        <f>$I$18*$AZ$18</f>
        <v>0</v>
      </c>
      <c r="BA70" s="13">
        <f>$I$18*$BA$18</f>
        <v>0</v>
      </c>
      <c r="BB70" s="13">
        <f>$I$18*$BB$18</f>
        <v>0</v>
      </c>
      <c r="BC70" s="13">
        <f>$I$18*$BC$18</f>
        <v>0</v>
      </c>
      <c r="BD70" s="13">
        <f>$I$18*$BD$18</f>
        <v>0</v>
      </c>
    </row>
    <row r="71" spans="1:56" ht="11.25" customHeight="1" x14ac:dyDescent="0.3">
      <c r="A71" s="9" t="s">
        <v>22</v>
      </c>
      <c r="B71" s="9" t="s">
        <v>710</v>
      </c>
      <c r="C71" s="9" t="s">
        <v>711</v>
      </c>
      <c r="D71" s="9" t="s">
        <v>712</v>
      </c>
      <c r="E71" s="9" t="s">
        <v>713</v>
      </c>
      <c r="F71" s="9" t="s">
        <v>714</v>
      </c>
      <c r="G71" s="9" t="s">
        <v>717</v>
      </c>
      <c r="L71" s="13">
        <f>$I$19*$L$19</f>
        <v>0</v>
      </c>
      <c r="M71" s="13">
        <f>$I$19*$M$19</f>
        <v>0</v>
      </c>
      <c r="N71" s="13">
        <f ca="1">$I$19*$N$19</f>
        <v>0</v>
      </c>
      <c r="O71" s="13">
        <f>$I$19*$O$19</f>
        <v>0</v>
      </c>
      <c r="P71" s="13">
        <f>$I$19*$P$19</f>
        <v>0</v>
      </c>
      <c r="Q71" s="13">
        <f>$I$19*$Q$19</f>
        <v>0</v>
      </c>
      <c r="R71" s="13">
        <f>$I$19*$R$19</f>
        <v>0</v>
      </c>
      <c r="S71" s="13">
        <f>$I$19*$S$19</f>
        <v>0</v>
      </c>
      <c r="T71" s="13">
        <f>$I$19*$T$19</f>
        <v>0</v>
      </c>
      <c r="U71" s="13">
        <f>$I$19*$U$19</f>
        <v>0</v>
      </c>
      <c r="V71" s="13">
        <f>$I$19*$V$19</f>
        <v>0</v>
      </c>
      <c r="W71" s="13">
        <f>$I$19*$W$19</f>
        <v>0</v>
      </c>
      <c r="X71" s="13">
        <f>$I$19*$X$19</f>
        <v>0</v>
      </c>
      <c r="Y71" s="13">
        <f>$I$19*$Y$19</f>
        <v>0</v>
      </c>
      <c r="Z71" s="13">
        <f>$I$19*$Z$19</f>
        <v>0</v>
      </c>
      <c r="AA71" s="13">
        <f>$I$19*$AA$19</f>
        <v>0</v>
      </c>
      <c r="AB71" s="13">
        <f ca="1">$I$19*$AB$19</f>
        <v>0</v>
      </c>
      <c r="AC71" s="13">
        <f ca="1">$I$19*$AC$19</f>
        <v>0</v>
      </c>
      <c r="AD71" s="13">
        <f>$I$19*$AD$19</f>
        <v>0</v>
      </c>
      <c r="AE71" s="13">
        <f>$I$19*$AE$19</f>
        <v>0</v>
      </c>
      <c r="AF71" s="13">
        <f ca="1">$I$19*$AF$19</f>
        <v>0</v>
      </c>
      <c r="AG71" s="13">
        <f ca="1">$I$19*$AG$19</f>
        <v>0</v>
      </c>
      <c r="AI71" s="13">
        <f>$I$19*$AI$19</f>
        <v>0</v>
      </c>
      <c r="AJ71" s="13">
        <f>$I$19*$AJ$19</f>
        <v>0</v>
      </c>
      <c r="AK71" s="13">
        <f>$I$19*$AK$19</f>
        <v>0</v>
      </c>
      <c r="AL71" s="13">
        <f>$I$19*$AL$19</f>
        <v>0</v>
      </c>
      <c r="AM71" s="13">
        <f>$I$19*$AM$19</f>
        <v>0</v>
      </c>
      <c r="AN71" s="13">
        <f>$I$19*$AN$19</f>
        <v>0</v>
      </c>
      <c r="AO71" s="13">
        <f>$I$19*$AO$19</f>
        <v>0</v>
      </c>
      <c r="AP71" s="13">
        <f>$I$19*$AP$19</f>
        <v>0</v>
      </c>
      <c r="AQ71" s="13">
        <f>$I$19*$AQ$19</f>
        <v>0</v>
      </c>
      <c r="AR71" s="13">
        <f>$I$19*$AR$19</f>
        <v>0</v>
      </c>
      <c r="AS71" s="13">
        <f>$I$19*$AS$19</f>
        <v>0</v>
      </c>
      <c r="AT71" s="13">
        <f>$I$19*$AT$19</f>
        <v>0</v>
      </c>
      <c r="AU71" s="13">
        <f>$I$19*$AU$19</f>
        <v>0</v>
      </c>
      <c r="AV71" s="13">
        <f>$I$19*$AV$19</f>
        <v>0</v>
      </c>
      <c r="AW71" s="13">
        <f>$I$19*$AW$19</f>
        <v>0</v>
      </c>
      <c r="AX71" s="13">
        <f>$I$19*$AX$19</f>
        <v>0</v>
      </c>
      <c r="AY71" s="13">
        <f>$I$19*$AY$19</f>
        <v>0</v>
      </c>
      <c r="AZ71" s="13">
        <f>$I$19*$AZ$19</f>
        <v>0</v>
      </c>
      <c r="BA71" s="13">
        <f>$I$19*$BA$19</f>
        <v>0</v>
      </c>
      <c r="BB71" s="13">
        <f>$I$19*$BB$19</f>
        <v>0</v>
      </c>
      <c r="BC71" s="13">
        <f>$I$19*$BC$19</f>
        <v>0</v>
      </c>
      <c r="BD71" s="13">
        <f>$I$19*$BD$19</f>
        <v>0</v>
      </c>
    </row>
    <row r="72" spans="1:56" ht="11.25" customHeight="1" x14ac:dyDescent="0.3">
      <c r="A72" s="9" t="s">
        <v>22</v>
      </c>
      <c r="B72" s="9" t="s">
        <v>718</v>
      </c>
      <c r="C72" s="9" t="s">
        <v>719</v>
      </c>
      <c r="D72" s="9" t="s">
        <v>720</v>
      </c>
      <c r="E72" s="9" t="s">
        <v>721</v>
      </c>
      <c r="F72" s="9" t="s">
        <v>722</v>
      </c>
      <c r="G72" s="9" t="s">
        <v>723</v>
      </c>
      <c r="L72" s="13">
        <f>$I$20*$L$20</f>
        <v>0</v>
      </c>
      <c r="M72" s="13">
        <f>$I$20*$M$20</f>
        <v>344.59539597486349</v>
      </c>
      <c r="N72" s="13">
        <f ca="1">$I$20*$N$20</f>
        <v>0</v>
      </c>
      <c r="O72" s="13">
        <f>$I$20*$O$20</f>
        <v>0</v>
      </c>
      <c r="P72" s="13">
        <f>$I$20*$P$20</f>
        <v>0</v>
      </c>
      <c r="Q72" s="13">
        <f>$I$20*$Q$20</f>
        <v>36499.79207819084</v>
      </c>
      <c r="R72" s="13">
        <f>$I$20*$R$20</f>
        <v>5754.3833522032874</v>
      </c>
      <c r="S72" s="13">
        <f>$I$20*$S$20</f>
        <v>0</v>
      </c>
      <c r="T72" s="13">
        <f>$I$20*$T$20</f>
        <v>0</v>
      </c>
      <c r="U72" s="13">
        <f>$I$20*$U$20</f>
        <v>0</v>
      </c>
      <c r="V72" s="13">
        <f>$I$20*$V$20</f>
        <v>0</v>
      </c>
      <c r="W72" s="13">
        <f>$I$20*$W$20</f>
        <v>0</v>
      </c>
      <c r="X72" s="13">
        <f>$I$20*$X$20</f>
        <v>44009.235843621704</v>
      </c>
      <c r="Y72" s="13">
        <f>$I$20*$Y$20</f>
        <v>0</v>
      </c>
      <c r="Z72" s="13">
        <f>$I$20*$Z$20</f>
        <v>0</v>
      </c>
      <c r="AA72" s="13">
        <f>$I$20*$AA$20</f>
        <v>40740.90683329077</v>
      </c>
      <c r="AB72" s="13">
        <f ca="1">$I$20*$AB$20</f>
        <v>0</v>
      </c>
      <c r="AC72" s="13">
        <f ca="1">$I$20*$AC$20</f>
        <v>0</v>
      </c>
      <c r="AD72" s="13">
        <f>$I$20*$AD$20</f>
        <v>7874.4735931299056</v>
      </c>
      <c r="AE72" s="13">
        <f>$I$20*$AE$20</f>
        <v>0</v>
      </c>
      <c r="AF72" s="13">
        <f ca="1">$I$20*$AF$20</f>
        <v>0</v>
      </c>
      <c r="AG72" s="13">
        <f ca="1">$I$20*$AG$20</f>
        <v>0</v>
      </c>
      <c r="AI72" s="13">
        <f>$I$20*$AI$20</f>
        <v>0</v>
      </c>
      <c r="AJ72" s="13">
        <f>$I$20*$AJ$20</f>
        <v>432.7781774568279</v>
      </c>
      <c r="AK72" s="13">
        <f>$I$20*$AK$20</f>
        <v>0</v>
      </c>
      <c r="AL72" s="13">
        <f>$I$20*$AL$20</f>
        <v>0</v>
      </c>
      <c r="AM72" s="13">
        <f>$I$20*$AM$20</f>
        <v>0</v>
      </c>
      <c r="AN72" s="13">
        <f>$I$20*$AN$20</f>
        <v>30717.424737026537</v>
      </c>
      <c r="AO72" s="13">
        <f>$I$20*$AO$20</f>
        <v>4662.3417919445183</v>
      </c>
      <c r="AP72" s="13">
        <f>$I$20*$AP$20</f>
        <v>0</v>
      </c>
      <c r="AQ72" s="13">
        <f>$I$20*$AQ$20</f>
        <v>0</v>
      </c>
      <c r="AR72" s="13">
        <f>$I$20*$AR$20</f>
        <v>0</v>
      </c>
      <c r="AS72" s="13">
        <f>$I$20*$AS$20</f>
        <v>0</v>
      </c>
      <c r="AT72" s="13">
        <f>$I$20*$AT$20</f>
        <v>0</v>
      </c>
      <c r="AU72" s="13">
        <f>$I$20*$AU$20</f>
        <v>42834.473166115698</v>
      </c>
      <c r="AV72" s="13">
        <f>$I$20*$AV$20</f>
        <v>0</v>
      </c>
      <c r="AW72" s="13">
        <f>$I$20*$AW$20</f>
        <v>0</v>
      </c>
      <c r="AX72" s="13">
        <f>$I$20*$AX$20</f>
        <v>41983.809717605051</v>
      </c>
      <c r="AY72" s="13">
        <f>$I$20*$AY$20</f>
        <v>0</v>
      </c>
      <c r="AZ72" s="13">
        <f>$I$20*$AZ$20</f>
        <v>0</v>
      </c>
      <c r="BA72" s="13">
        <f>$I$20*$BA$20</f>
        <v>11238.753866659312</v>
      </c>
      <c r="BB72" s="13">
        <f>$I$20*$BB$20</f>
        <v>0</v>
      </c>
      <c r="BC72" s="13">
        <f>$I$20*$BC$20</f>
        <v>0</v>
      </c>
      <c r="BD72" s="13">
        <f>$I$20*$BD$20</f>
        <v>0</v>
      </c>
    </row>
    <row r="73" spans="1:56" ht="11.25" customHeight="1" x14ac:dyDescent="0.3">
      <c r="A73" s="9" t="s">
        <v>22</v>
      </c>
      <c r="B73" s="9" t="s">
        <v>718</v>
      </c>
      <c r="C73" s="9" t="s">
        <v>719</v>
      </c>
      <c r="D73" s="9" t="s">
        <v>724</v>
      </c>
      <c r="E73" s="9" t="s">
        <v>725</v>
      </c>
      <c r="F73" s="9" t="s">
        <v>726</v>
      </c>
      <c r="G73" s="9" t="s">
        <v>727</v>
      </c>
      <c r="L73" s="13">
        <f>$I$21*$L$21</f>
        <v>0</v>
      </c>
      <c r="M73" s="13">
        <f>$I$21*$M$21</f>
        <v>0.65818507755486977</v>
      </c>
      <c r="N73" s="13">
        <f ca="1">$I$21*$N$21</f>
        <v>0</v>
      </c>
      <c r="O73" s="13">
        <f>$I$21*$O$21</f>
        <v>0</v>
      </c>
      <c r="P73" s="13">
        <f>$I$21*$P$21</f>
        <v>0</v>
      </c>
      <c r="Q73" s="13">
        <f>$I$21*$Q$21</f>
        <v>0</v>
      </c>
      <c r="R73" s="13">
        <f>$I$21*$R$21</f>
        <v>0</v>
      </c>
      <c r="S73" s="13">
        <f>$I$21*$S$21</f>
        <v>0</v>
      </c>
      <c r="T73" s="13">
        <f>$I$21*$T$21</f>
        <v>0</v>
      </c>
      <c r="U73" s="13">
        <f>$I$21*$U$21</f>
        <v>0</v>
      </c>
      <c r="V73" s="13">
        <f>$I$21*$V$21</f>
        <v>0</v>
      </c>
      <c r="W73" s="13">
        <f>$I$21*$W$21</f>
        <v>0</v>
      </c>
      <c r="X73" s="13">
        <f>$I$21*$X$21</f>
        <v>84.058645719624309</v>
      </c>
      <c r="Y73" s="13">
        <f>$I$21*$Y$21</f>
        <v>0</v>
      </c>
      <c r="Z73" s="13">
        <f>$I$21*$Z$21</f>
        <v>0</v>
      </c>
      <c r="AA73" s="13">
        <f>$I$21*$AA$21</f>
        <v>77.816062654769866</v>
      </c>
      <c r="AB73" s="13">
        <f ca="1">$I$21*$AB$21</f>
        <v>0</v>
      </c>
      <c r="AC73" s="13">
        <f ca="1">$I$21*$AC$21</f>
        <v>0</v>
      </c>
      <c r="AD73" s="13">
        <f>$I$21*$AD$21</f>
        <v>15.04042443148615</v>
      </c>
      <c r="AE73" s="13">
        <f>$I$21*$AE$21</f>
        <v>0</v>
      </c>
      <c r="AF73" s="13">
        <f ca="1">$I$21*$AF$21</f>
        <v>0</v>
      </c>
      <c r="AG73" s="13">
        <f ca="1">$I$21*$AG$21</f>
        <v>0</v>
      </c>
      <c r="AI73" s="13">
        <f>$I$21*$AI$21</f>
        <v>0</v>
      </c>
      <c r="AJ73" s="13">
        <f>$I$21*$AJ$21</f>
        <v>0.82661620445519757</v>
      </c>
      <c r="AK73" s="13">
        <f>$I$21*$AK$21</f>
        <v>0</v>
      </c>
      <c r="AL73" s="13">
        <f>$I$21*$AL$21</f>
        <v>0</v>
      </c>
      <c r="AM73" s="13">
        <f>$I$21*$AM$21</f>
        <v>0</v>
      </c>
      <c r="AN73" s="13">
        <f>$I$21*$AN$21</f>
        <v>0</v>
      </c>
      <c r="AO73" s="13">
        <f>$I$21*$AO$21</f>
        <v>0</v>
      </c>
      <c r="AP73" s="13">
        <f>$I$21*$AP$21</f>
        <v>0</v>
      </c>
      <c r="AQ73" s="13">
        <f>$I$21*$AQ$21</f>
        <v>0</v>
      </c>
      <c r="AR73" s="13">
        <f>$I$21*$AR$21</f>
        <v>0</v>
      </c>
      <c r="AS73" s="13">
        <f>$I$21*$AS$21</f>
        <v>0</v>
      </c>
      <c r="AT73" s="13">
        <f>$I$21*$AT$21</f>
        <v>0</v>
      </c>
      <c r="AU73" s="13">
        <f>$I$21*$AU$21</f>
        <v>81.814822171676241</v>
      </c>
      <c r="AV73" s="13">
        <f>$I$21*$AV$21</f>
        <v>0</v>
      </c>
      <c r="AW73" s="13">
        <f>$I$21*$AW$21</f>
        <v>0</v>
      </c>
      <c r="AX73" s="13">
        <f>$I$21*$AX$21</f>
        <v>80.190035554179303</v>
      </c>
      <c r="AY73" s="13">
        <f>$I$21*$AY$21</f>
        <v>0</v>
      </c>
      <c r="AZ73" s="13">
        <f>$I$21*$AZ$21</f>
        <v>0</v>
      </c>
      <c r="BA73" s="13">
        <f>$I$21*$BA$21</f>
        <v>21.466276600766967</v>
      </c>
      <c r="BB73" s="13">
        <f>$I$21*$BB$21</f>
        <v>0</v>
      </c>
      <c r="BC73" s="13">
        <f>$I$21*$BC$21</f>
        <v>0</v>
      </c>
      <c r="BD73" s="13">
        <f>$I$21*$BD$21</f>
        <v>0</v>
      </c>
    </row>
    <row r="74" spans="1:56" ht="11.25" customHeight="1" x14ac:dyDescent="0.3">
      <c r="A74" s="9" t="s">
        <v>22</v>
      </c>
      <c r="B74" s="9" t="s">
        <v>718</v>
      </c>
      <c r="C74" s="9" t="s">
        <v>719</v>
      </c>
      <c r="D74" s="9" t="s">
        <v>728</v>
      </c>
      <c r="E74" s="9" t="s">
        <v>729</v>
      </c>
      <c r="F74" s="9" t="s">
        <v>730</v>
      </c>
      <c r="G74" s="9" t="s">
        <v>731</v>
      </c>
      <c r="L74" s="13">
        <f>$I$22*$L$22</f>
        <v>0</v>
      </c>
      <c r="M74" s="13">
        <f>$I$22*$M$22</f>
        <v>2.0600121740180262</v>
      </c>
      <c r="N74" s="13">
        <f ca="1">$I$22*$N$22</f>
        <v>0</v>
      </c>
      <c r="O74" s="13">
        <f>$I$22*$O$22</f>
        <v>0</v>
      </c>
      <c r="P74" s="13">
        <f>$I$22*$P$22</f>
        <v>0</v>
      </c>
      <c r="Q74" s="13">
        <f>$I$22*$Q$22</f>
        <v>0</v>
      </c>
      <c r="R74" s="13">
        <f>$I$22*$R$22</f>
        <v>0</v>
      </c>
      <c r="S74" s="13">
        <f>$I$22*$S$22</f>
        <v>0</v>
      </c>
      <c r="T74" s="13">
        <f>$I$22*$T$22</f>
        <v>0</v>
      </c>
      <c r="U74" s="13">
        <f>$I$22*$U$22</f>
        <v>0</v>
      </c>
      <c r="V74" s="13">
        <f>$I$22*$V$22</f>
        <v>0</v>
      </c>
      <c r="W74" s="13">
        <f>$I$22*$W$22</f>
        <v>0</v>
      </c>
      <c r="X74" s="13">
        <f>$I$22*$X$22</f>
        <v>263.08988067183685</v>
      </c>
      <c r="Y74" s="13">
        <f>$I$22*$Y$22</f>
        <v>0</v>
      </c>
      <c r="Z74" s="13">
        <f>$I$22*$Z$22</f>
        <v>0</v>
      </c>
      <c r="AA74" s="13">
        <f>$I$22*$AA$22</f>
        <v>243.55161165076976</v>
      </c>
      <c r="AB74" s="13">
        <f ca="1">$I$22*$AB$22</f>
        <v>0</v>
      </c>
      <c r="AC74" s="13">
        <f ca="1">$I$22*$AC$22</f>
        <v>0</v>
      </c>
      <c r="AD74" s="13">
        <f>$I$22*$AD$22</f>
        <v>47.074080661873829</v>
      </c>
      <c r="AE74" s="13">
        <f>$I$22*$AE$22</f>
        <v>0</v>
      </c>
      <c r="AF74" s="13">
        <f ca="1">$I$22*$AF$22</f>
        <v>0</v>
      </c>
      <c r="AG74" s="13">
        <f ca="1">$I$22*$AG$22</f>
        <v>0</v>
      </c>
      <c r="AI74" s="13">
        <f>$I$22*$AI$22</f>
        <v>0</v>
      </c>
      <c r="AJ74" s="13">
        <f>$I$22*$AJ$22</f>
        <v>2.5871741892785818</v>
      </c>
      <c r="AK74" s="13">
        <f>$I$22*$AK$22</f>
        <v>0</v>
      </c>
      <c r="AL74" s="13">
        <f>$I$22*$AL$22</f>
        <v>0</v>
      </c>
      <c r="AM74" s="13">
        <f>$I$22*$AM$22</f>
        <v>0</v>
      </c>
      <c r="AN74" s="13">
        <f>$I$22*$AN$22</f>
        <v>0</v>
      </c>
      <c r="AO74" s="13">
        <f>$I$22*$AO$22</f>
        <v>0</v>
      </c>
      <c r="AP74" s="13">
        <f>$I$22*$AP$22</f>
        <v>0</v>
      </c>
      <c r="AQ74" s="13">
        <f>$I$22*$AQ$22</f>
        <v>0</v>
      </c>
      <c r="AR74" s="13">
        <f>$I$22*$AR$22</f>
        <v>0</v>
      </c>
      <c r="AS74" s="13">
        <f>$I$22*$AS$22</f>
        <v>0</v>
      </c>
      <c r="AT74" s="13">
        <f>$I$22*$AT$22</f>
        <v>0</v>
      </c>
      <c r="AU74" s="13">
        <f>$I$22*$AU$22</f>
        <v>256.06707814599883</v>
      </c>
      <c r="AV74" s="13">
        <f>$I$22*$AV$22</f>
        <v>0</v>
      </c>
      <c r="AW74" s="13">
        <f>$I$22*$AW$22</f>
        <v>0</v>
      </c>
      <c r="AX74" s="13">
        <f>$I$22*$AX$22</f>
        <v>250.98176046505142</v>
      </c>
      <c r="AY74" s="13">
        <f>$I$22*$AY$22</f>
        <v>0</v>
      </c>
      <c r="AZ74" s="13">
        <f>$I$22*$AZ$22</f>
        <v>0</v>
      </c>
      <c r="BA74" s="13">
        <f>$I$22*$BA$22</f>
        <v>67.18595215299716</v>
      </c>
      <c r="BB74" s="13">
        <f>$I$22*$BB$22</f>
        <v>0</v>
      </c>
      <c r="BC74" s="13">
        <f>$I$22*$BC$22</f>
        <v>0</v>
      </c>
      <c r="BD74" s="13">
        <f>$I$22*$BD$22</f>
        <v>0</v>
      </c>
    </row>
    <row r="75" spans="1:56" ht="11.25" customHeight="1" x14ac:dyDescent="0.3">
      <c r="A75" s="9" t="s">
        <v>22</v>
      </c>
      <c r="B75" s="9" t="s">
        <v>718</v>
      </c>
      <c r="C75" s="9" t="s">
        <v>719</v>
      </c>
      <c r="D75" s="9" t="s">
        <v>732</v>
      </c>
      <c r="E75" s="9" t="s">
        <v>733</v>
      </c>
      <c r="F75" s="9" t="s">
        <v>734</v>
      </c>
      <c r="G75" s="9" t="s">
        <v>735</v>
      </c>
      <c r="L75" s="13">
        <f>$I$23*$L$23</f>
        <v>0</v>
      </c>
      <c r="M75" s="13">
        <f>$I$23*$M$23</f>
        <v>4.1369253030112407</v>
      </c>
      <c r="N75" s="13">
        <f ca="1">$I$23*$N$23</f>
        <v>0</v>
      </c>
      <c r="O75" s="13">
        <f>$I$23*$O$23</f>
        <v>0</v>
      </c>
      <c r="P75" s="13">
        <f>$I$23*$P$23</f>
        <v>0</v>
      </c>
      <c r="Q75" s="13">
        <f>$I$23*$Q$23</f>
        <v>0</v>
      </c>
      <c r="R75" s="13">
        <f>$I$23*$R$23</f>
        <v>0</v>
      </c>
      <c r="S75" s="13">
        <f>$I$23*$S$23</f>
        <v>0</v>
      </c>
      <c r="T75" s="13">
        <f>$I$23*$T$23</f>
        <v>0</v>
      </c>
      <c r="U75" s="13">
        <f>$I$23*$U$23</f>
        <v>0</v>
      </c>
      <c r="V75" s="13">
        <f>$I$23*$V$23</f>
        <v>0</v>
      </c>
      <c r="W75" s="13">
        <f>$I$23*$W$23</f>
        <v>0</v>
      </c>
      <c r="X75" s="13">
        <f>$I$23*$X$23</f>
        <v>528.33822928077791</v>
      </c>
      <c r="Y75" s="13">
        <f>$I$23*$Y$23</f>
        <v>0</v>
      </c>
      <c r="Z75" s="13">
        <f>$I$23*$Z$23</f>
        <v>0</v>
      </c>
      <c r="AA75" s="13">
        <f>$I$23*$AA$23</f>
        <v>489.10139344565835</v>
      </c>
      <c r="AB75" s="13">
        <f ca="1">$I$23*$AB$23</f>
        <v>0</v>
      </c>
      <c r="AC75" s="13">
        <f ca="1">$I$23*$AC$23</f>
        <v>0</v>
      </c>
      <c r="AD75" s="13">
        <f>$I$23*$AD$23</f>
        <v>94.534371137359059</v>
      </c>
      <c r="AE75" s="13">
        <f>$I$23*$AE$23</f>
        <v>0</v>
      </c>
      <c r="AF75" s="13">
        <f ca="1">$I$23*$AF$23</f>
        <v>0</v>
      </c>
      <c r="AG75" s="13">
        <f ca="1">$I$23*$AG$23</f>
        <v>0</v>
      </c>
      <c r="AI75" s="13">
        <f>$I$23*$AI$23</f>
        <v>0</v>
      </c>
      <c r="AJ75" s="13">
        <f>$I$23*$AJ$23</f>
        <v>5.1955743281109852</v>
      </c>
      <c r="AK75" s="13">
        <f>$I$23*$AK$23</f>
        <v>0</v>
      </c>
      <c r="AL75" s="13">
        <f>$I$23*$AL$23</f>
        <v>0</v>
      </c>
      <c r="AM75" s="13">
        <f>$I$23*$AM$23</f>
        <v>0</v>
      </c>
      <c r="AN75" s="13">
        <f>$I$23*$AN$23</f>
        <v>0</v>
      </c>
      <c r="AO75" s="13">
        <f>$I$23*$AO$23</f>
        <v>0</v>
      </c>
      <c r="AP75" s="13">
        <f>$I$23*$AP$23</f>
        <v>0</v>
      </c>
      <c r="AQ75" s="13">
        <f>$I$23*$AQ$23</f>
        <v>0</v>
      </c>
      <c r="AR75" s="13">
        <f>$I$23*$AR$23</f>
        <v>0</v>
      </c>
      <c r="AS75" s="13">
        <f>$I$23*$AS$23</f>
        <v>0</v>
      </c>
      <c r="AT75" s="13">
        <f>$I$23*$AT$23</f>
        <v>0</v>
      </c>
      <c r="AU75" s="13">
        <f>$I$23*$AU$23</f>
        <v>514.23500706024015</v>
      </c>
      <c r="AV75" s="13">
        <f>$I$23*$AV$23</f>
        <v>0</v>
      </c>
      <c r="AW75" s="13">
        <f>$I$23*$AW$23</f>
        <v>0</v>
      </c>
      <c r="AX75" s="13">
        <f>$I$23*$AX$23</f>
        <v>504.02265023366419</v>
      </c>
      <c r="AY75" s="13">
        <f>$I$23*$AY$23</f>
        <v>0</v>
      </c>
      <c r="AZ75" s="13">
        <f>$I$23*$AZ$23</f>
        <v>0</v>
      </c>
      <c r="BA75" s="13">
        <f>$I$23*$BA$23</f>
        <v>134.92311791852785</v>
      </c>
      <c r="BB75" s="13">
        <f>$I$23*$BB$23</f>
        <v>0</v>
      </c>
      <c r="BC75" s="13">
        <f>$I$23*$BC$23</f>
        <v>0</v>
      </c>
      <c r="BD75" s="13">
        <f>$I$23*$BD$23</f>
        <v>0</v>
      </c>
    </row>
    <row r="76" spans="1:56" ht="11.25" customHeight="1" x14ac:dyDescent="0.3">
      <c r="A76" s="9" t="s">
        <v>22</v>
      </c>
      <c r="B76" s="9" t="s">
        <v>718</v>
      </c>
      <c r="C76" s="9" t="s">
        <v>719</v>
      </c>
      <c r="D76" s="9" t="s">
        <v>736</v>
      </c>
      <c r="E76" s="9" t="s">
        <v>737</v>
      </c>
      <c r="F76" s="9" t="s">
        <v>738</v>
      </c>
      <c r="G76" s="9" t="s">
        <v>739</v>
      </c>
      <c r="L76" s="13">
        <f>$I$24*$L$24</f>
        <v>0</v>
      </c>
      <c r="M76" s="13">
        <f>$I$24*$M$24</f>
        <v>1.6654978635173863</v>
      </c>
      <c r="N76" s="13">
        <f ca="1">$I$24*$N$24</f>
        <v>0</v>
      </c>
      <c r="O76" s="13">
        <f>$I$24*$O$24</f>
        <v>0</v>
      </c>
      <c r="P76" s="13">
        <f>$I$24*$P$24</f>
        <v>0</v>
      </c>
      <c r="Q76" s="13">
        <f>$I$24*$Q$24</f>
        <v>0</v>
      </c>
      <c r="R76" s="13">
        <f>$I$24*$R$24</f>
        <v>0</v>
      </c>
      <c r="S76" s="13">
        <f>$I$24*$S$24</f>
        <v>0</v>
      </c>
      <c r="T76" s="13">
        <f>$I$24*$T$24</f>
        <v>0</v>
      </c>
      <c r="U76" s="13">
        <f>$I$24*$U$24</f>
        <v>0</v>
      </c>
      <c r="V76" s="13">
        <f>$I$24*$V$24</f>
        <v>0</v>
      </c>
      <c r="W76" s="13">
        <f>$I$24*$W$24</f>
        <v>0</v>
      </c>
      <c r="X76" s="13">
        <f>$I$24*$X$24</f>
        <v>212.70536150149667</v>
      </c>
      <c r="Y76" s="13">
        <f>$I$24*$Y$24</f>
        <v>0</v>
      </c>
      <c r="Z76" s="13">
        <f>$I$24*$Z$24</f>
        <v>0</v>
      </c>
      <c r="AA76" s="13">
        <f>$I$24*$AA$24</f>
        <v>196.90887946035198</v>
      </c>
      <c r="AB76" s="13">
        <f ca="1">$I$24*$AB$24</f>
        <v>0</v>
      </c>
      <c r="AC76" s="13">
        <f ca="1">$I$24*$AC$24</f>
        <v>0</v>
      </c>
      <c r="AD76" s="13">
        <f>$I$24*$AD$24</f>
        <v>38.05889196104814</v>
      </c>
      <c r="AE76" s="13">
        <f>$I$24*$AE$24</f>
        <v>0</v>
      </c>
      <c r="AF76" s="13">
        <f ca="1">$I$24*$AF$24</f>
        <v>0</v>
      </c>
      <c r="AG76" s="13">
        <f ca="1">$I$24*$AG$24</f>
        <v>0</v>
      </c>
      <c r="AI76" s="13">
        <f>$I$24*$AI$24</f>
        <v>0</v>
      </c>
      <c r="AJ76" s="13">
        <f>$I$24*$AJ$24</f>
        <v>2.0917027283320793</v>
      </c>
      <c r="AK76" s="13">
        <f>$I$24*$AK$24</f>
        <v>0</v>
      </c>
      <c r="AL76" s="13">
        <f>$I$24*$AL$24</f>
        <v>0</v>
      </c>
      <c r="AM76" s="13">
        <f>$I$24*$AM$24</f>
        <v>0</v>
      </c>
      <c r="AN76" s="13">
        <f>$I$24*$AN$24</f>
        <v>0</v>
      </c>
      <c r="AO76" s="13">
        <f>$I$24*$AO$24</f>
        <v>0</v>
      </c>
      <c r="AP76" s="13">
        <f>$I$24*$AP$24</f>
        <v>0</v>
      </c>
      <c r="AQ76" s="13">
        <f>$I$24*$AQ$24</f>
        <v>0</v>
      </c>
      <c r="AR76" s="13">
        <f>$I$24*$AR$24</f>
        <v>0</v>
      </c>
      <c r="AS76" s="13">
        <f>$I$24*$AS$24</f>
        <v>0</v>
      </c>
      <c r="AT76" s="13">
        <f>$I$24*$AT$24</f>
        <v>0</v>
      </c>
      <c r="AU76" s="13">
        <f>$I$24*$AU$24</f>
        <v>207.02750058872653</v>
      </c>
      <c r="AV76" s="13">
        <f>$I$24*$AV$24</f>
        <v>0</v>
      </c>
      <c r="AW76" s="13">
        <f>$I$24*$AW$24</f>
        <v>0</v>
      </c>
      <c r="AX76" s="13">
        <f>$I$24*$AX$24</f>
        <v>202.91607550117206</v>
      </c>
      <c r="AY76" s="13">
        <f>$I$24*$AY$24</f>
        <v>0</v>
      </c>
      <c r="AZ76" s="13">
        <f>$I$24*$AZ$24</f>
        <v>0</v>
      </c>
      <c r="BA76" s="13">
        <f>$I$24*$BA$24</f>
        <v>54.319125479216325</v>
      </c>
      <c r="BB76" s="13">
        <f>$I$24*$BB$24</f>
        <v>0</v>
      </c>
      <c r="BC76" s="13">
        <f>$I$24*$BC$24</f>
        <v>0</v>
      </c>
      <c r="BD76" s="13">
        <f>$I$24*$BD$24</f>
        <v>0</v>
      </c>
    </row>
    <row r="77" spans="1:56" ht="11.25" customHeight="1" x14ac:dyDescent="0.3">
      <c r="A77" s="9" t="s">
        <v>22</v>
      </c>
      <c r="B77" s="9" t="s">
        <v>740</v>
      </c>
      <c r="C77" s="9" t="s">
        <v>741</v>
      </c>
      <c r="D77" s="9" t="s">
        <v>742</v>
      </c>
      <c r="E77" s="9" t="s">
        <v>743</v>
      </c>
      <c r="F77" s="9" t="s">
        <v>744</v>
      </c>
      <c r="G77" s="9" t="s">
        <v>745</v>
      </c>
      <c r="L77" s="13">
        <f>$I$25*$L$25</f>
        <v>0</v>
      </c>
      <c r="M77" s="13">
        <f>$I$25*$M$25</f>
        <v>0</v>
      </c>
      <c r="N77" s="13">
        <f ca="1">$I$25*$N$25</f>
        <v>0</v>
      </c>
      <c r="O77" s="13">
        <f>$I$25*$O$25</f>
        <v>0</v>
      </c>
      <c r="P77" s="13">
        <f>$I$25*$P$25</f>
        <v>0</v>
      </c>
      <c r="Q77" s="13">
        <f>$I$25*$Q$25</f>
        <v>0</v>
      </c>
      <c r="R77" s="13">
        <f>$I$25*$R$25</f>
        <v>0</v>
      </c>
      <c r="S77" s="13">
        <f>$I$25*$S$25</f>
        <v>0</v>
      </c>
      <c r="T77" s="13">
        <f>$I$25*$T$25</f>
        <v>0</v>
      </c>
      <c r="U77" s="13">
        <f>$I$25*$U$25</f>
        <v>0</v>
      </c>
      <c r="V77" s="13">
        <f>$I$25*$V$25</f>
        <v>0</v>
      </c>
      <c r="W77" s="13">
        <f>$I$25*$W$25</f>
        <v>0</v>
      </c>
      <c r="X77" s="13">
        <f>$I$25*$X$25</f>
        <v>0</v>
      </c>
      <c r="Y77" s="13">
        <f>$I$25*$Y$25</f>
        <v>0</v>
      </c>
      <c r="Z77" s="13">
        <f>$I$25*$Z$25</f>
        <v>0</v>
      </c>
      <c r="AA77" s="13">
        <f>$I$25*$AA$25</f>
        <v>0</v>
      </c>
      <c r="AB77" s="13">
        <f ca="1">$I$25*$AB$25</f>
        <v>0</v>
      </c>
      <c r="AC77" s="13">
        <f ca="1">$I$25*$AC$25</f>
        <v>0</v>
      </c>
      <c r="AD77" s="13">
        <f>$I$25*$AD$25</f>
        <v>0</v>
      </c>
      <c r="AE77" s="13">
        <f>$I$25*$AE$25</f>
        <v>0</v>
      </c>
      <c r="AF77" s="13">
        <f ca="1">$I$25*$AF$25</f>
        <v>0</v>
      </c>
      <c r="AG77" s="13">
        <f ca="1">$I$25*$AG$25</f>
        <v>0</v>
      </c>
      <c r="AI77" s="13">
        <f>$I$25*$AI$25</f>
        <v>0</v>
      </c>
      <c r="AJ77" s="13">
        <f>$I$25*$AJ$25</f>
        <v>0</v>
      </c>
      <c r="AK77" s="13">
        <f>$I$25*$AK$25</f>
        <v>0</v>
      </c>
      <c r="AL77" s="13">
        <f>$I$25*$AL$25</f>
        <v>0</v>
      </c>
      <c r="AM77" s="13">
        <f>$I$25*$AM$25</f>
        <v>0</v>
      </c>
      <c r="AN77" s="13">
        <f>$I$25*$AN$25</f>
        <v>0</v>
      </c>
      <c r="AO77" s="13">
        <f>$I$25*$AO$25</f>
        <v>0</v>
      </c>
      <c r="AP77" s="13">
        <f>$I$25*$AP$25</f>
        <v>0</v>
      </c>
      <c r="AQ77" s="13">
        <f>$I$25*$AQ$25</f>
        <v>0</v>
      </c>
      <c r="AR77" s="13">
        <f>$I$25*$AR$25</f>
        <v>0</v>
      </c>
      <c r="AS77" s="13">
        <f>$I$25*$AS$25</f>
        <v>0</v>
      </c>
      <c r="AT77" s="13">
        <f>$I$25*$AT$25</f>
        <v>0</v>
      </c>
      <c r="AU77" s="13">
        <f>$I$25*$AU$25</f>
        <v>0</v>
      </c>
      <c r="AV77" s="13">
        <f>$I$25*$AV$25</f>
        <v>0</v>
      </c>
      <c r="AW77" s="13">
        <f>$I$25*$AW$25</f>
        <v>0</v>
      </c>
      <c r="AX77" s="13">
        <f>$I$25*$AX$25</f>
        <v>0</v>
      </c>
      <c r="AY77" s="13">
        <f>$I$25*$AY$25</f>
        <v>0</v>
      </c>
      <c r="AZ77" s="13">
        <f>$I$25*$AZ$25</f>
        <v>0</v>
      </c>
      <c r="BA77" s="13">
        <f>$I$25*$BA$25</f>
        <v>0</v>
      </c>
      <c r="BB77" s="13">
        <f>$I$25*$BB$25</f>
        <v>0</v>
      </c>
      <c r="BC77" s="13">
        <f>$I$25*$BC$25</f>
        <v>0</v>
      </c>
      <c r="BD77" s="13">
        <f>$I$25*$BD$25</f>
        <v>0</v>
      </c>
    </row>
    <row r="78" spans="1:56" ht="11.25" customHeight="1" x14ac:dyDescent="0.3">
      <c r="A78" s="9" t="s">
        <v>22</v>
      </c>
      <c r="B78" s="9" t="s">
        <v>740</v>
      </c>
      <c r="C78" s="9" t="s">
        <v>741</v>
      </c>
      <c r="D78" s="9" t="s">
        <v>746</v>
      </c>
      <c r="E78" s="9" t="s">
        <v>747</v>
      </c>
      <c r="F78" s="9" t="s">
        <v>748</v>
      </c>
      <c r="G78" s="9" t="s">
        <v>749</v>
      </c>
      <c r="L78" s="13">
        <f>$I$26*$L$26</f>
        <v>0</v>
      </c>
      <c r="M78" s="13">
        <f>$I$26*$M$26</f>
        <v>0</v>
      </c>
      <c r="N78" s="13">
        <f ca="1">$I$26*$N$26</f>
        <v>0</v>
      </c>
      <c r="O78" s="13">
        <f>$I$26*$O$26</f>
        <v>0</v>
      </c>
      <c r="P78" s="13">
        <f>$I$26*$P$26</f>
        <v>0</v>
      </c>
      <c r="Q78" s="13">
        <f>$I$26*$Q$26</f>
        <v>0</v>
      </c>
      <c r="R78" s="13">
        <f>$I$26*$R$26</f>
        <v>0</v>
      </c>
      <c r="S78" s="13">
        <f>$I$26*$S$26</f>
        <v>0</v>
      </c>
      <c r="T78" s="13">
        <f>$I$26*$T$26</f>
        <v>0</v>
      </c>
      <c r="U78" s="13">
        <f>$I$26*$U$26</f>
        <v>0</v>
      </c>
      <c r="V78" s="13">
        <f>$I$26*$V$26</f>
        <v>0</v>
      </c>
      <c r="W78" s="13">
        <f>$I$26*$W$26</f>
        <v>0</v>
      </c>
      <c r="X78" s="13">
        <f>$I$26*$X$26</f>
        <v>0</v>
      </c>
      <c r="Y78" s="13">
        <f>$I$26*$Y$26</f>
        <v>0</v>
      </c>
      <c r="Z78" s="13">
        <f>$I$26*$Z$26</f>
        <v>0</v>
      </c>
      <c r="AA78" s="13">
        <f>$I$26*$AA$26</f>
        <v>0</v>
      </c>
      <c r="AB78" s="13">
        <f ca="1">$I$26*$AB$26</f>
        <v>0</v>
      </c>
      <c r="AC78" s="13">
        <f ca="1">$I$26*$AC$26</f>
        <v>0</v>
      </c>
      <c r="AD78" s="13">
        <f>$I$26*$AD$26</f>
        <v>0</v>
      </c>
      <c r="AE78" s="13">
        <f>$I$26*$AE$26</f>
        <v>0</v>
      </c>
      <c r="AF78" s="13">
        <f ca="1">$I$26*$AF$26</f>
        <v>0</v>
      </c>
      <c r="AG78" s="13">
        <f ca="1">$I$26*$AG$26</f>
        <v>0</v>
      </c>
      <c r="AI78" s="13">
        <f>$I$26*$AI$26</f>
        <v>0</v>
      </c>
      <c r="AJ78" s="13">
        <f>$I$26*$AJ$26</f>
        <v>0</v>
      </c>
      <c r="AK78" s="13">
        <f>$I$26*$AK$26</f>
        <v>0</v>
      </c>
      <c r="AL78" s="13">
        <f>$I$26*$AL$26</f>
        <v>0</v>
      </c>
      <c r="AM78" s="13">
        <f>$I$26*$AM$26</f>
        <v>0</v>
      </c>
      <c r="AN78" s="13">
        <f>$I$26*$AN$26</f>
        <v>0</v>
      </c>
      <c r="AO78" s="13">
        <f>$I$26*$AO$26</f>
        <v>0</v>
      </c>
      <c r="AP78" s="13">
        <f>$I$26*$AP$26</f>
        <v>0</v>
      </c>
      <c r="AQ78" s="13">
        <f>$I$26*$AQ$26</f>
        <v>0</v>
      </c>
      <c r="AR78" s="13">
        <f>$I$26*$AR$26</f>
        <v>0</v>
      </c>
      <c r="AS78" s="13">
        <f>$I$26*$AS$26</f>
        <v>0</v>
      </c>
      <c r="AT78" s="13">
        <f>$I$26*$AT$26</f>
        <v>0</v>
      </c>
      <c r="AU78" s="13">
        <f>$I$26*$AU$26</f>
        <v>0</v>
      </c>
      <c r="AV78" s="13">
        <f>$I$26*$AV$26</f>
        <v>0</v>
      </c>
      <c r="AW78" s="13">
        <f>$I$26*$AW$26</f>
        <v>0</v>
      </c>
      <c r="AX78" s="13">
        <f>$I$26*$AX$26</f>
        <v>0</v>
      </c>
      <c r="AY78" s="13">
        <f>$I$26*$AY$26</f>
        <v>0</v>
      </c>
      <c r="AZ78" s="13">
        <f>$I$26*$AZ$26</f>
        <v>0</v>
      </c>
      <c r="BA78" s="13">
        <f>$I$26*$BA$26</f>
        <v>0</v>
      </c>
      <c r="BB78" s="13">
        <f>$I$26*$BB$26</f>
        <v>0</v>
      </c>
      <c r="BC78" s="13">
        <f>$I$26*$BC$26</f>
        <v>0</v>
      </c>
      <c r="BD78" s="13">
        <f>$I$26*$BD$26</f>
        <v>0</v>
      </c>
    </row>
    <row r="79" spans="1:56" ht="11.25" customHeight="1" x14ac:dyDescent="0.3">
      <c r="A79" s="9" t="s">
        <v>22</v>
      </c>
      <c r="B79" s="9" t="s">
        <v>740</v>
      </c>
      <c r="C79" s="9" t="s">
        <v>741</v>
      </c>
      <c r="D79" s="9" t="s">
        <v>750</v>
      </c>
      <c r="E79" s="9" t="s">
        <v>751</v>
      </c>
      <c r="F79" s="9" t="s">
        <v>752</v>
      </c>
      <c r="G79" s="9" t="s">
        <v>753</v>
      </c>
      <c r="L79" s="13">
        <f>$I$27*$L$27</f>
        <v>0</v>
      </c>
      <c r="M79" s="13">
        <f>$I$27*$M$27</f>
        <v>0</v>
      </c>
      <c r="N79" s="13">
        <f ca="1">$I$27*$N$27</f>
        <v>0</v>
      </c>
      <c r="O79" s="13">
        <f>$I$27*$O$27</f>
        <v>0</v>
      </c>
      <c r="P79" s="13">
        <f>$I$27*$P$27</f>
        <v>0</v>
      </c>
      <c r="Q79" s="13">
        <f>$I$27*$Q$27</f>
        <v>0</v>
      </c>
      <c r="R79" s="13">
        <f>$I$27*$R$27</f>
        <v>0</v>
      </c>
      <c r="S79" s="13">
        <f>$I$27*$S$27</f>
        <v>0</v>
      </c>
      <c r="T79" s="13">
        <f>$I$27*$T$27</f>
        <v>0</v>
      </c>
      <c r="U79" s="13">
        <f>$I$27*$U$27</f>
        <v>0</v>
      </c>
      <c r="V79" s="13">
        <f>$I$27*$V$27</f>
        <v>0</v>
      </c>
      <c r="W79" s="13">
        <f>$I$27*$W$27</f>
        <v>0</v>
      </c>
      <c r="X79" s="13">
        <f>$I$27*$X$27</f>
        <v>0</v>
      </c>
      <c r="Y79" s="13">
        <f>$I$27*$Y$27</f>
        <v>0</v>
      </c>
      <c r="Z79" s="13">
        <f>$I$27*$Z$27</f>
        <v>0</v>
      </c>
      <c r="AA79" s="13">
        <f>$I$27*$AA$27</f>
        <v>0</v>
      </c>
      <c r="AB79" s="13">
        <f ca="1">$I$27*$AB$27</f>
        <v>0</v>
      </c>
      <c r="AC79" s="13">
        <f ca="1">$I$27*$AC$27</f>
        <v>0</v>
      </c>
      <c r="AD79" s="13">
        <f>$I$27*$AD$27</f>
        <v>0</v>
      </c>
      <c r="AE79" s="13">
        <f>$I$27*$AE$27</f>
        <v>0</v>
      </c>
      <c r="AF79" s="13">
        <f ca="1">$I$27*$AF$27</f>
        <v>0</v>
      </c>
      <c r="AG79" s="13">
        <f ca="1">$I$27*$AG$27</f>
        <v>0</v>
      </c>
      <c r="AI79" s="13">
        <f>$I$27*$AI$27</f>
        <v>0</v>
      </c>
      <c r="AJ79" s="13">
        <f>$I$27*$AJ$27</f>
        <v>0</v>
      </c>
      <c r="AK79" s="13">
        <f>$I$27*$AK$27</f>
        <v>0</v>
      </c>
      <c r="AL79" s="13">
        <f>$I$27*$AL$27</f>
        <v>0</v>
      </c>
      <c r="AM79" s="13">
        <f>$I$27*$AM$27</f>
        <v>0</v>
      </c>
      <c r="AN79" s="13">
        <f>$I$27*$AN$27</f>
        <v>0</v>
      </c>
      <c r="AO79" s="13">
        <f>$I$27*$AO$27</f>
        <v>0</v>
      </c>
      <c r="AP79" s="13">
        <f>$I$27*$AP$27</f>
        <v>0</v>
      </c>
      <c r="AQ79" s="13">
        <f>$I$27*$AQ$27</f>
        <v>0</v>
      </c>
      <c r="AR79" s="13">
        <f>$I$27*$AR$27</f>
        <v>0</v>
      </c>
      <c r="AS79" s="13">
        <f>$I$27*$AS$27</f>
        <v>0</v>
      </c>
      <c r="AT79" s="13">
        <f>$I$27*$AT$27</f>
        <v>0</v>
      </c>
      <c r="AU79" s="13">
        <f>$I$27*$AU$27</f>
        <v>0</v>
      </c>
      <c r="AV79" s="13">
        <f>$I$27*$AV$27</f>
        <v>0</v>
      </c>
      <c r="AW79" s="13">
        <f>$I$27*$AW$27</f>
        <v>0</v>
      </c>
      <c r="AX79" s="13">
        <f>$I$27*$AX$27</f>
        <v>0</v>
      </c>
      <c r="AY79" s="13">
        <f>$I$27*$AY$27</f>
        <v>0</v>
      </c>
      <c r="AZ79" s="13">
        <f>$I$27*$AZ$27</f>
        <v>0</v>
      </c>
      <c r="BA79" s="13">
        <f>$I$27*$BA$27</f>
        <v>0</v>
      </c>
      <c r="BB79" s="13">
        <f>$I$27*$BB$27</f>
        <v>0</v>
      </c>
      <c r="BC79" s="13">
        <f>$I$27*$BC$27</f>
        <v>0</v>
      </c>
      <c r="BD79" s="13">
        <f>$I$27*$BD$27</f>
        <v>0</v>
      </c>
    </row>
    <row r="80" spans="1:56" ht="11.25" customHeight="1" x14ac:dyDescent="0.3">
      <c r="A80" s="9" t="s">
        <v>22</v>
      </c>
      <c r="B80" s="9" t="s">
        <v>740</v>
      </c>
      <c r="C80" s="9" t="s">
        <v>741</v>
      </c>
      <c r="D80" s="9" t="s">
        <v>754</v>
      </c>
      <c r="E80" s="9" t="s">
        <v>755</v>
      </c>
      <c r="F80" s="9" t="s">
        <v>756</v>
      </c>
      <c r="G80" s="9" t="s">
        <v>757</v>
      </c>
      <c r="L80" s="13">
        <f>$I$28*$L$28</f>
        <v>0</v>
      </c>
      <c r="M80" s="13">
        <f>$I$28*$M$28</f>
        <v>0</v>
      </c>
      <c r="N80" s="13">
        <f ca="1">$I$28*$N$28</f>
        <v>0</v>
      </c>
      <c r="O80" s="13">
        <f>$I$28*$O$28</f>
        <v>0</v>
      </c>
      <c r="P80" s="13">
        <f>$I$28*$P$28</f>
        <v>0</v>
      </c>
      <c r="Q80" s="13">
        <f>$I$28*$Q$28</f>
        <v>0</v>
      </c>
      <c r="R80" s="13">
        <f>$I$28*$R$28</f>
        <v>0</v>
      </c>
      <c r="S80" s="13">
        <f>$I$28*$S$28</f>
        <v>0</v>
      </c>
      <c r="T80" s="13">
        <f>$I$28*$T$28</f>
        <v>0</v>
      </c>
      <c r="U80" s="13">
        <f>$I$28*$U$28</f>
        <v>0</v>
      </c>
      <c r="V80" s="13">
        <f>$I$28*$V$28</f>
        <v>0</v>
      </c>
      <c r="W80" s="13">
        <f>$I$28*$W$28</f>
        <v>0</v>
      </c>
      <c r="X80" s="13">
        <f>$I$28*$X$28</f>
        <v>0</v>
      </c>
      <c r="Y80" s="13">
        <f>$I$28*$Y$28</f>
        <v>0</v>
      </c>
      <c r="Z80" s="13">
        <f>$I$28*$Z$28</f>
        <v>0</v>
      </c>
      <c r="AA80" s="13">
        <f>$I$28*$AA$28</f>
        <v>0</v>
      </c>
      <c r="AB80" s="13">
        <f ca="1">$I$28*$AB$28</f>
        <v>0</v>
      </c>
      <c r="AC80" s="13">
        <f ca="1">$I$28*$AC$28</f>
        <v>0</v>
      </c>
      <c r="AD80" s="13">
        <f>$I$28*$AD$28</f>
        <v>0</v>
      </c>
      <c r="AE80" s="13">
        <f>$I$28*$AE$28</f>
        <v>0</v>
      </c>
      <c r="AF80" s="13">
        <f ca="1">$I$28*$AF$28</f>
        <v>0</v>
      </c>
      <c r="AG80" s="13">
        <f ca="1">$I$28*$AG$28</f>
        <v>0</v>
      </c>
      <c r="AI80" s="13">
        <f>$I$28*$AI$28</f>
        <v>0</v>
      </c>
      <c r="AJ80" s="13">
        <f>$I$28*$AJ$28</f>
        <v>0</v>
      </c>
      <c r="AK80" s="13">
        <f>$I$28*$AK$28</f>
        <v>0</v>
      </c>
      <c r="AL80" s="13">
        <f>$I$28*$AL$28</f>
        <v>0</v>
      </c>
      <c r="AM80" s="13">
        <f>$I$28*$AM$28</f>
        <v>0</v>
      </c>
      <c r="AN80" s="13">
        <f>$I$28*$AN$28</f>
        <v>0</v>
      </c>
      <c r="AO80" s="13">
        <f>$I$28*$AO$28</f>
        <v>0</v>
      </c>
      <c r="AP80" s="13">
        <f>$I$28*$AP$28</f>
        <v>0</v>
      </c>
      <c r="AQ80" s="13">
        <f>$I$28*$AQ$28</f>
        <v>0</v>
      </c>
      <c r="AR80" s="13">
        <f>$I$28*$AR$28</f>
        <v>0</v>
      </c>
      <c r="AS80" s="13">
        <f>$I$28*$AS$28</f>
        <v>0</v>
      </c>
      <c r="AT80" s="13">
        <f>$I$28*$AT$28</f>
        <v>0</v>
      </c>
      <c r="AU80" s="13">
        <f>$I$28*$AU$28</f>
        <v>0</v>
      </c>
      <c r="AV80" s="13">
        <f>$I$28*$AV$28</f>
        <v>0</v>
      </c>
      <c r="AW80" s="13">
        <f>$I$28*$AW$28</f>
        <v>0</v>
      </c>
      <c r="AX80" s="13">
        <f>$I$28*$AX$28</f>
        <v>0</v>
      </c>
      <c r="AY80" s="13">
        <f>$I$28*$AY$28</f>
        <v>0</v>
      </c>
      <c r="AZ80" s="13">
        <f>$I$28*$AZ$28</f>
        <v>0</v>
      </c>
      <c r="BA80" s="13">
        <f>$I$28*$BA$28</f>
        <v>0</v>
      </c>
      <c r="BB80" s="13">
        <f>$I$28*$BB$28</f>
        <v>0</v>
      </c>
      <c r="BC80" s="13">
        <f>$I$28*$BC$28</f>
        <v>0</v>
      </c>
      <c r="BD80" s="13">
        <f>$I$28*$BD$28</f>
        <v>0</v>
      </c>
    </row>
    <row r="81" spans="1:56" ht="11.25" customHeight="1" x14ac:dyDescent="0.3">
      <c r="A81" s="9" t="s">
        <v>22</v>
      </c>
      <c r="B81" s="9" t="s">
        <v>740</v>
      </c>
      <c r="C81" s="9" t="s">
        <v>741</v>
      </c>
      <c r="D81" s="9" t="s">
        <v>758</v>
      </c>
      <c r="E81" s="9" t="s">
        <v>759</v>
      </c>
      <c r="F81" s="9" t="s">
        <v>760</v>
      </c>
      <c r="G81" s="9" t="s">
        <v>761</v>
      </c>
      <c r="L81" s="13">
        <f>$I$29*$L$29</f>
        <v>0</v>
      </c>
      <c r="M81" s="13">
        <f>$I$29*$M$29</f>
        <v>0</v>
      </c>
      <c r="N81" s="13">
        <f ca="1">$I$29*$N$29</f>
        <v>0</v>
      </c>
      <c r="O81" s="13">
        <f>$I$29*$O$29</f>
        <v>0</v>
      </c>
      <c r="P81" s="13">
        <f>$I$29*$P$29</f>
        <v>0</v>
      </c>
      <c r="Q81" s="13">
        <f>$I$29*$Q$29</f>
        <v>0</v>
      </c>
      <c r="R81" s="13">
        <f>$I$29*$R$29</f>
        <v>0</v>
      </c>
      <c r="S81" s="13">
        <f>$I$29*$S$29</f>
        <v>0</v>
      </c>
      <c r="T81" s="13">
        <f>$I$29*$T$29</f>
        <v>0</v>
      </c>
      <c r="U81" s="13">
        <f>$I$29*$U$29</f>
        <v>0</v>
      </c>
      <c r="V81" s="13">
        <f>$I$29*$V$29</f>
        <v>0</v>
      </c>
      <c r="W81" s="13">
        <f>$I$29*$W$29</f>
        <v>0</v>
      </c>
      <c r="X81" s="13">
        <f>$I$29*$X$29</f>
        <v>0</v>
      </c>
      <c r="Y81" s="13">
        <f>$I$29*$Y$29</f>
        <v>0</v>
      </c>
      <c r="Z81" s="13">
        <f>$I$29*$Z$29</f>
        <v>0</v>
      </c>
      <c r="AA81" s="13">
        <f>$I$29*$AA$29</f>
        <v>0</v>
      </c>
      <c r="AB81" s="13">
        <f ca="1">$I$29*$AB$29</f>
        <v>0</v>
      </c>
      <c r="AC81" s="13">
        <f ca="1">$I$29*$AC$29</f>
        <v>0</v>
      </c>
      <c r="AD81" s="13">
        <f>$I$29*$AD$29</f>
        <v>0</v>
      </c>
      <c r="AE81" s="13">
        <f>$I$29*$AE$29</f>
        <v>0</v>
      </c>
      <c r="AF81" s="13">
        <f ca="1">$I$29*$AF$29</f>
        <v>0</v>
      </c>
      <c r="AG81" s="13">
        <f ca="1">$I$29*$AG$29</f>
        <v>0</v>
      </c>
      <c r="AI81" s="13">
        <f>$I$29*$AI$29</f>
        <v>0</v>
      </c>
      <c r="AJ81" s="13">
        <f>$I$29*$AJ$29</f>
        <v>0</v>
      </c>
      <c r="AK81" s="13">
        <f>$I$29*$AK$29</f>
        <v>0</v>
      </c>
      <c r="AL81" s="13">
        <f>$I$29*$AL$29</f>
        <v>0</v>
      </c>
      <c r="AM81" s="13">
        <f>$I$29*$AM$29</f>
        <v>0</v>
      </c>
      <c r="AN81" s="13">
        <f>$I$29*$AN$29</f>
        <v>0</v>
      </c>
      <c r="AO81" s="13">
        <f>$I$29*$AO$29</f>
        <v>0</v>
      </c>
      <c r="AP81" s="13">
        <f>$I$29*$AP$29</f>
        <v>0</v>
      </c>
      <c r="AQ81" s="13">
        <f>$I$29*$AQ$29</f>
        <v>0</v>
      </c>
      <c r="AR81" s="13">
        <f>$I$29*$AR$29</f>
        <v>0</v>
      </c>
      <c r="AS81" s="13">
        <f>$I$29*$AS$29</f>
        <v>0</v>
      </c>
      <c r="AT81" s="13">
        <f>$I$29*$AT$29</f>
        <v>0</v>
      </c>
      <c r="AU81" s="13">
        <f>$I$29*$AU$29</f>
        <v>0</v>
      </c>
      <c r="AV81" s="13">
        <f>$I$29*$AV$29</f>
        <v>0</v>
      </c>
      <c r="AW81" s="13">
        <f>$I$29*$AW$29</f>
        <v>0</v>
      </c>
      <c r="AX81" s="13">
        <f>$I$29*$AX$29</f>
        <v>0</v>
      </c>
      <c r="AY81" s="13">
        <f>$I$29*$AY$29</f>
        <v>0</v>
      </c>
      <c r="AZ81" s="13">
        <f>$I$29*$AZ$29</f>
        <v>0</v>
      </c>
      <c r="BA81" s="13">
        <f>$I$29*$BA$29</f>
        <v>0</v>
      </c>
      <c r="BB81" s="13">
        <f>$I$29*$BB$29</f>
        <v>0</v>
      </c>
      <c r="BC81" s="13">
        <f>$I$29*$BC$29</f>
        <v>0</v>
      </c>
      <c r="BD81" s="13">
        <f>$I$29*$BD$29</f>
        <v>0</v>
      </c>
    </row>
    <row r="82" spans="1:56" ht="11.25" customHeight="1" x14ac:dyDescent="0.3">
      <c r="A82" s="9" t="s">
        <v>39</v>
      </c>
      <c r="B82" s="9" t="s">
        <v>762</v>
      </c>
      <c r="C82" s="9" t="s">
        <v>763</v>
      </c>
      <c r="D82" s="9" t="s">
        <v>764</v>
      </c>
      <c r="E82" s="9" t="s">
        <v>765</v>
      </c>
      <c r="F82" s="9" t="s">
        <v>766</v>
      </c>
      <c r="G82" s="9" t="s">
        <v>767</v>
      </c>
      <c r="L82" s="13">
        <f>$I$30*$L$30</f>
        <v>0</v>
      </c>
      <c r="M82" s="13">
        <f>$I$30*$M$30</f>
        <v>0</v>
      </c>
      <c r="N82" s="13">
        <f ca="1">$I$30*$N$30</f>
        <v>0</v>
      </c>
      <c r="O82" s="13">
        <f>$I$30*$O$30</f>
        <v>0</v>
      </c>
      <c r="P82" s="13">
        <f>$I$30*$P$30</f>
        <v>0</v>
      </c>
      <c r="Q82" s="13">
        <f>$I$30*$Q$30</f>
        <v>0</v>
      </c>
      <c r="R82" s="13">
        <f>$I$30*$R$30</f>
        <v>0</v>
      </c>
      <c r="S82" s="13">
        <f>$I$30*$S$30</f>
        <v>0</v>
      </c>
      <c r="T82" s="13">
        <f>$I$30*$T$30</f>
        <v>0</v>
      </c>
      <c r="U82" s="13">
        <f>$I$30*$U$30</f>
        <v>0</v>
      </c>
      <c r="V82" s="13">
        <f>$I$30*$V$30</f>
        <v>0</v>
      </c>
      <c r="W82" s="13">
        <f>$I$30*$W$30</f>
        <v>0</v>
      </c>
      <c r="X82" s="13">
        <f>$I$30*$X$30</f>
        <v>0</v>
      </c>
      <c r="Y82" s="13">
        <f>$I$30*$Y$30</f>
        <v>0</v>
      </c>
      <c r="Z82" s="13">
        <f>$I$30*$Z$30</f>
        <v>0</v>
      </c>
      <c r="AA82" s="13">
        <f>$I$30*$AA$30</f>
        <v>0</v>
      </c>
      <c r="AB82" s="13">
        <f ca="1">$I$30*$AB$30</f>
        <v>0</v>
      </c>
      <c r="AC82" s="13">
        <f ca="1">$I$30*$AC$30</f>
        <v>0</v>
      </c>
      <c r="AD82" s="13">
        <f>$I$30*$AD$30</f>
        <v>0</v>
      </c>
      <c r="AE82" s="13">
        <f>$I$30*$AE$30</f>
        <v>0</v>
      </c>
      <c r="AF82" s="13">
        <f ca="1">$I$30*$AF$30</f>
        <v>0</v>
      </c>
      <c r="AG82" s="13">
        <f ca="1">$I$30*$AG$30</f>
        <v>0</v>
      </c>
      <c r="AI82" s="13">
        <f>$I$30*$AI$30</f>
        <v>0</v>
      </c>
      <c r="AJ82" s="13">
        <f>$I$30*$AJ$30</f>
        <v>0</v>
      </c>
      <c r="AK82" s="13">
        <f>$I$30*$AK$30</f>
        <v>0</v>
      </c>
      <c r="AL82" s="13">
        <f>$I$30*$AL$30</f>
        <v>0</v>
      </c>
      <c r="AM82" s="13">
        <f>$I$30*$AM$30</f>
        <v>0</v>
      </c>
      <c r="AN82" s="13">
        <f>$I$30*$AN$30</f>
        <v>0</v>
      </c>
      <c r="AO82" s="13">
        <f>$I$30*$AO$30</f>
        <v>0</v>
      </c>
      <c r="AP82" s="13">
        <f>$I$30*$AP$30</f>
        <v>0</v>
      </c>
      <c r="AQ82" s="13">
        <f>$I$30*$AQ$30</f>
        <v>0</v>
      </c>
      <c r="AR82" s="13">
        <f>$I$30*$AR$30</f>
        <v>0</v>
      </c>
      <c r="AS82" s="13">
        <f>$I$30*$AS$30</f>
        <v>0</v>
      </c>
      <c r="AT82" s="13">
        <f>$I$30*$AT$30</f>
        <v>0</v>
      </c>
      <c r="AU82" s="13">
        <f>$I$30*$AU$30</f>
        <v>0</v>
      </c>
      <c r="AV82" s="13">
        <f>$I$30*$AV$30</f>
        <v>0</v>
      </c>
      <c r="AW82" s="13">
        <f>$I$30*$AW$30</f>
        <v>0</v>
      </c>
      <c r="AX82" s="13">
        <f>$I$30*$AX$30</f>
        <v>0</v>
      </c>
      <c r="AY82" s="13">
        <f>$I$30*$AY$30</f>
        <v>0</v>
      </c>
      <c r="AZ82" s="13">
        <f>$I$30*$AZ$30</f>
        <v>0</v>
      </c>
      <c r="BA82" s="13">
        <f>$I$30*$BA$30</f>
        <v>0</v>
      </c>
      <c r="BB82" s="13">
        <f>$I$30*$BB$30</f>
        <v>0</v>
      </c>
      <c r="BC82" s="13">
        <f>$I$30*$BC$30</f>
        <v>0</v>
      </c>
      <c r="BD82" s="13">
        <f>$I$30*$BD$30</f>
        <v>0</v>
      </c>
    </row>
    <row r="83" spans="1:56" ht="11.25" customHeight="1" x14ac:dyDescent="0.3">
      <c r="A83" s="9" t="s">
        <v>39</v>
      </c>
      <c r="B83" s="9" t="s">
        <v>762</v>
      </c>
      <c r="C83" s="9" t="s">
        <v>763</v>
      </c>
      <c r="D83" s="9" t="s">
        <v>764</v>
      </c>
      <c r="E83" s="9" t="s">
        <v>765</v>
      </c>
      <c r="F83" s="9" t="s">
        <v>766</v>
      </c>
      <c r="G83" s="9" t="s">
        <v>768</v>
      </c>
      <c r="L83" s="13">
        <f>$I$31*$L$31</f>
        <v>0</v>
      </c>
      <c r="M83" s="13">
        <f>$I$31*$M$31</f>
        <v>0</v>
      </c>
      <c r="N83" s="13">
        <f ca="1">$I$31*$N$31</f>
        <v>0</v>
      </c>
      <c r="O83" s="13">
        <f>$I$31*$O$31</f>
        <v>0</v>
      </c>
      <c r="P83" s="13">
        <f>$I$31*$P$31</f>
        <v>0</v>
      </c>
      <c r="Q83" s="13">
        <f>$I$31*$Q$31</f>
        <v>0</v>
      </c>
      <c r="R83" s="13">
        <f>$I$31*$R$31</f>
        <v>0</v>
      </c>
      <c r="S83" s="13">
        <f>$I$31*$S$31</f>
        <v>0</v>
      </c>
      <c r="T83" s="13">
        <f>$I$31*$T$31</f>
        <v>0</v>
      </c>
      <c r="U83" s="13">
        <f>$I$31*$U$31</f>
        <v>0</v>
      </c>
      <c r="V83" s="13">
        <f>$I$31*$V$31</f>
        <v>0</v>
      </c>
      <c r="W83" s="13">
        <f>$I$31*$W$31</f>
        <v>0</v>
      </c>
      <c r="X83" s="13">
        <f>$I$31*$X$31</f>
        <v>0</v>
      </c>
      <c r="Y83" s="13">
        <f>$I$31*$Y$31</f>
        <v>0</v>
      </c>
      <c r="Z83" s="13">
        <f>$I$31*$Z$31</f>
        <v>0</v>
      </c>
      <c r="AA83" s="13">
        <f>$I$31*$AA$31</f>
        <v>0</v>
      </c>
      <c r="AB83" s="13">
        <f ca="1">$I$31*$AB$31</f>
        <v>0</v>
      </c>
      <c r="AC83" s="13">
        <f ca="1">$I$31*$AC$31</f>
        <v>0</v>
      </c>
      <c r="AD83" s="13">
        <f>$I$31*$AD$31</f>
        <v>0</v>
      </c>
      <c r="AE83" s="13">
        <f>$I$31*$AE$31</f>
        <v>0</v>
      </c>
      <c r="AF83" s="13">
        <f ca="1">$I$31*$AF$31</f>
        <v>0</v>
      </c>
      <c r="AG83" s="13">
        <f ca="1">$I$31*$AG$31</f>
        <v>0</v>
      </c>
      <c r="AI83" s="13">
        <f>$I$31*$AI$31</f>
        <v>0</v>
      </c>
      <c r="AJ83" s="13">
        <f>$I$31*$AJ$31</f>
        <v>0</v>
      </c>
      <c r="AK83" s="13">
        <f>$I$31*$AK$31</f>
        <v>0</v>
      </c>
      <c r="AL83" s="13">
        <f>$I$31*$AL$31</f>
        <v>0</v>
      </c>
      <c r="AM83" s="13">
        <f>$I$31*$AM$31</f>
        <v>0</v>
      </c>
      <c r="AN83" s="13">
        <f>$I$31*$AN$31</f>
        <v>0</v>
      </c>
      <c r="AO83" s="13">
        <f>$I$31*$AO$31</f>
        <v>0</v>
      </c>
      <c r="AP83" s="13">
        <f>$I$31*$AP$31</f>
        <v>0</v>
      </c>
      <c r="AQ83" s="13">
        <f>$I$31*$AQ$31</f>
        <v>0</v>
      </c>
      <c r="AR83" s="13">
        <f>$I$31*$AR$31</f>
        <v>0</v>
      </c>
      <c r="AS83" s="13">
        <f>$I$31*$AS$31</f>
        <v>0</v>
      </c>
      <c r="AT83" s="13">
        <f>$I$31*$AT$31</f>
        <v>0</v>
      </c>
      <c r="AU83" s="13">
        <f>$I$31*$AU$31</f>
        <v>0</v>
      </c>
      <c r="AV83" s="13">
        <f>$I$31*$AV$31</f>
        <v>0</v>
      </c>
      <c r="AW83" s="13">
        <f>$I$31*$AW$31</f>
        <v>0</v>
      </c>
      <c r="AX83" s="13">
        <f>$I$31*$AX$31</f>
        <v>0</v>
      </c>
      <c r="AY83" s="13">
        <f>$I$31*$AY$31</f>
        <v>0</v>
      </c>
      <c r="AZ83" s="13">
        <f>$I$31*$AZ$31</f>
        <v>0</v>
      </c>
      <c r="BA83" s="13">
        <f>$I$31*$BA$31</f>
        <v>0</v>
      </c>
      <c r="BB83" s="13">
        <f>$I$31*$BB$31</f>
        <v>0</v>
      </c>
      <c r="BC83" s="13">
        <f>$I$31*$BC$31</f>
        <v>0</v>
      </c>
      <c r="BD83" s="13">
        <f>$I$31*$BD$31</f>
        <v>0</v>
      </c>
    </row>
    <row r="84" spans="1:56" ht="11.25" customHeight="1" x14ac:dyDescent="0.3">
      <c r="A84" s="9" t="s">
        <v>39</v>
      </c>
      <c r="B84" s="9" t="s">
        <v>762</v>
      </c>
      <c r="C84" s="9" t="s">
        <v>763</v>
      </c>
      <c r="D84" s="9" t="s">
        <v>764</v>
      </c>
      <c r="E84" s="9" t="s">
        <v>765</v>
      </c>
      <c r="F84" s="9" t="s">
        <v>766</v>
      </c>
      <c r="G84" s="9" t="s">
        <v>769</v>
      </c>
      <c r="L84" s="13">
        <f>$I$32*$L$32</f>
        <v>0</v>
      </c>
      <c r="M84" s="13">
        <f>$I$32*$M$32</f>
        <v>0</v>
      </c>
      <c r="N84" s="13">
        <f ca="1">$I$32*$N$32</f>
        <v>0</v>
      </c>
      <c r="O84" s="13">
        <f>$I$32*$O$32</f>
        <v>0</v>
      </c>
      <c r="P84" s="13">
        <f>$I$32*$P$32</f>
        <v>0</v>
      </c>
      <c r="Q84" s="13">
        <f>$I$32*$Q$32</f>
        <v>0</v>
      </c>
      <c r="R84" s="13">
        <f>$I$32*$R$32</f>
        <v>0</v>
      </c>
      <c r="S84" s="13">
        <f>$I$32*$S$32</f>
        <v>0</v>
      </c>
      <c r="T84" s="13">
        <f>$I$32*$T$32</f>
        <v>0</v>
      </c>
      <c r="U84" s="13">
        <f>$I$32*$U$32</f>
        <v>0</v>
      </c>
      <c r="V84" s="13">
        <f>$I$32*$V$32</f>
        <v>0</v>
      </c>
      <c r="W84" s="13">
        <f>$I$32*$W$32</f>
        <v>0</v>
      </c>
      <c r="X84" s="13">
        <f>$I$32*$X$32</f>
        <v>0</v>
      </c>
      <c r="Y84" s="13">
        <f>$I$32*$Y$32</f>
        <v>0</v>
      </c>
      <c r="Z84" s="13">
        <f>$I$32*$Z$32</f>
        <v>0</v>
      </c>
      <c r="AA84" s="13">
        <f>$I$32*$AA$32</f>
        <v>0</v>
      </c>
      <c r="AB84" s="13">
        <f ca="1">$I$32*$AB$32</f>
        <v>0</v>
      </c>
      <c r="AC84" s="13">
        <f ca="1">$I$32*$AC$32</f>
        <v>0</v>
      </c>
      <c r="AD84" s="13">
        <f>$I$32*$AD$32</f>
        <v>0</v>
      </c>
      <c r="AE84" s="13">
        <f>$I$32*$AE$32</f>
        <v>0</v>
      </c>
      <c r="AF84" s="13">
        <f ca="1">$I$32*$AF$32</f>
        <v>0</v>
      </c>
      <c r="AG84" s="13">
        <f ca="1">$I$32*$AG$32</f>
        <v>0</v>
      </c>
      <c r="AI84" s="13">
        <f>$I$32*$AI$32</f>
        <v>0</v>
      </c>
      <c r="AJ84" s="13">
        <f>$I$32*$AJ$32</f>
        <v>0</v>
      </c>
      <c r="AK84" s="13">
        <f>$I$32*$AK$32</f>
        <v>0</v>
      </c>
      <c r="AL84" s="13">
        <f>$I$32*$AL$32</f>
        <v>0</v>
      </c>
      <c r="AM84" s="13">
        <f>$I$32*$AM$32</f>
        <v>0</v>
      </c>
      <c r="AN84" s="13">
        <f>$I$32*$AN$32</f>
        <v>0</v>
      </c>
      <c r="AO84" s="13">
        <f>$I$32*$AO$32</f>
        <v>0</v>
      </c>
      <c r="AP84" s="13">
        <f>$I$32*$AP$32</f>
        <v>0</v>
      </c>
      <c r="AQ84" s="13">
        <f>$I$32*$AQ$32</f>
        <v>0</v>
      </c>
      <c r="AR84" s="13">
        <f>$I$32*$AR$32</f>
        <v>0</v>
      </c>
      <c r="AS84" s="13">
        <f>$I$32*$AS$32</f>
        <v>0</v>
      </c>
      <c r="AT84" s="13">
        <f>$I$32*$AT$32</f>
        <v>0</v>
      </c>
      <c r="AU84" s="13">
        <f>$I$32*$AU$32</f>
        <v>0</v>
      </c>
      <c r="AV84" s="13">
        <f>$I$32*$AV$32</f>
        <v>0</v>
      </c>
      <c r="AW84" s="13">
        <f>$I$32*$AW$32</f>
        <v>0</v>
      </c>
      <c r="AX84" s="13">
        <f>$I$32*$AX$32</f>
        <v>0</v>
      </c>
      <c r="AY84" s="13">
        <f>$I$32*$AY$32</f>
        <v>0</v>
      </c>
      <c r="AZ84" s="13">
        <f>$I$32*$AZ$32</f>
        <v>0</v>
      </c>
      <c r="BA84" s="13">
        <f>$I$32*$BA$32</f>
        <v>0</v>
      </c>
      <c r="BB84" s="13">
        <f>$I$32*$BB$32</f>
        <v>0</v>
      </c>
      <c r="BC84" s="13">
        <f>$I$32*$BC$32</f>
        <v>0</v>
      </c>
      <c r="BD84" s="13">
        <f>$I$32*$BD$32</f>
        <v>0</v>
      </c>
    </row>
    <row r="85" spans="1:56" ht="11.25" customHeight="1" x14ac:dyDescent="0.3">
      <c r="A85" s="9" t="s">
        <v>39</v>
      </c>
      <c r="B85" s="9" t="s">
        <v>770</v>
      </c>
      <c r="C85" s="9" t="s">
        <v>771</v>
      </c>
      <c r="D85" s="9" t="s">
        <v>772</v>
      </c>
      <c r="E85" s="9" t="s">
        <v>773</v>
      </c>
      <c r="F85" s="9" t="s">
        <v>774</v>
      </c>
      <c r="G85" s="9" t="s">
        <v>775</v>
      </c>
      <c r="L85" s="13">
        <f>$I$33*$L$33</f>
        <v>0</v>
      </c>
      <c r="M85" s="13">
        <f>$I$33*$M$33</f>
        <v>4276.0897816959869</v>
      </c>
      <c r="N85" s="13">
        <f ca="1">$I$33*$N$33</f>
        <v>0</v>
      </c>
      <c r="O85" s="13">
        <f>$I$33*$O$33</f>
        <v>0</v>
      </c>
      <c r="P85" s="13">
        <f>$I$33*$P$33</f>
        <v>0</v>
      </c>
      <c r="Q85" s="13">
        <f>$I$33*$Q$33</f>
        <v>452926.50384384405</v>
      </c>
      <c r="R85" s="13">
        <f>$I$33*$R$33</f>
        <v>71406.235079568156</v>
      </c>
      <c r="S85" s="13">
        <f>$I$33*$S$33</f>
        <v>0</v>
      </c>
      <c r="T85" s="13">
        <f>$I$33*$T$33</f>
        <v>0</v>
      </c>
      <c r="U85" s="13">
        <f>$I$33*$U$33</f>
        <v>0</v>
      </c>
      <c r="V85" s="13">
        <f>$I$33*$V$33</f>
        <v>0</v>
      </c>
      <c r="W85" s="13">
        <f>$I$33*$W$33</f>
        <v>0</v>
      </c>
      <c r="X85" s="13">
        <f>$I$33*$X$33</f>
        <v>546111.31166966271</v>
      </c>
      <c r="Y85" s="13">
        <f>$I$33*$Y$33</f>
        <v>0</v>
      </c>
      <c r="Z85" s="13">
        <f>$I$33*$Z$33</f>
        <v>0</v>
      </c>
      <c r="AA85" s="13">
        <f>$I$33*$AA$33</f>
        <v>505554.56469177757</v>
      </c>
      <c r="AB85" s="13">
        <f ca="1">$I$33*$AB$33</f>
        <v>0</v>
      </c>
      <c r="AC85" s="13">
        <f ca="1">$I$33*$AC$33</f>
        <v>0</v>
      </c>
      <c r="AD85" s="13">
        <f>$I$33*$AD$33</f>
        <v>97714.468797702284</v>
      </c>
      <c r="AE85" s="13">
        <f>$I$33*$AE$33</f>
        <v>0</v>
      </c>
      <c r="AF85" s="13">
        <f ca="1">$I$33*$AF$33</f>
        <v>0</v>
      </c>
      <c r="AG85" s="13">
        <f ca="1">$I$33*$AG$33</f>
        <v>0</v>
      </c>
      <c r="AI85" s="13">
        <f>$I$33*$AI$33</f>
        <v>0</v>
      </c>
      <c r="AJ85" s="13">
        <f>$I$33*$AJ$33</f>
        <v>5027.5629452743879</v>
      </c>
      <c r="AK85" s="13">
        <f>$I$33*$AK$33</f>
        <v>0</v>
      </c>
      <c r="AL85" s="13">
        <f>$I$33*$AL$33</f>
        <v>0</v>
      </c>
      <c r="AM85" s="13">
        <f>$I$33*$AM$33</f>
        <v>0</v>
      </c>
      <c r="AN85" s="13">
        <f>$I$33*$AN$33</f>
        <v>356842.82255090162</v>
      </c>
      <c r="AO85" s="13">
        <f>$I$33*$AO$33</f>
        <v>54162.196830552588</v>
      </c>
      <c r="AP85" s="13">
        <f>$I$33*$AP$33</f>
        <v>0</v>
      </c>
      <c r="AQ85" s="13">
        <f>$I$33*$AQ$33</f>
        <v>0</v>
      </c>
      <c r="AR85" s="13">
        <f>$I$33*$AR$33</f>
        <v>0</v>
      </c>
      <c r="AS85" s="13">
        <f>$I$33*$AS$33</f>
        <v>0</v>
      </c>
      <c r="AT85" s="13">
        <f>$I$33*$AT$33</f>
        <v>0</v>
      </c>
      <c r="AU85" s="13">
        <f>$I$33*$AU$33</f>
        <v>497605.98220504349</v>
      </c>
      <c r="AV85" s="13">
        <f>$I$33*$AV$33</f>
        <v>0</v>
      </c>
      <c r="AW85" s="13">
        <f>$I$33*$AW$33</f>
        <v>0</v>
      </c>
      <c r="AX85" s="13">
        <f>$I$33*$AX$33</f>
        <v>487723.86648062459</v>
      </c>
      <c r="AY85" s="13">
        <f>$I$33*$AY$33</f>
        <v>0</v>
      </c>
      <c r="AZ85" s="13">
        <f>$I$33*$AZ$33</f>
        <v>0</v>
      </c>
      <c r="BA85" s="13">
        <f>$I$33*$BA$33</f>
        <v>130560.05462916869</v>
      </c>
      <c r="BB85" s="13">
        <f>$I$33*$BB$33</f>
        <v>0</v>
      </c>
      <c r="BC85" s="13">
        <f>$I$33*$BC$33</f>
        <v>0</v>
      </c>
      <c r="BD85" s="13">
        <f>$I$33*$BD$33</f>
        <v>0</v>
      </c>
    </row>
    <row r="86" spans="1:56" ht="11.25" customHeight="1" x14ac:dyDescent="0.3">
      <c r="A86" s="9" t="s">
        <v>39</v>
      </c>
      <c r="B86" s="9" t="s">
        <v>762</v>
      </c>
      <c r="C86" s="9" t="s">
        <v>763</v>
      </c>
      <c r="D86" s="9" t="s">
        <v>776</v>
      </c>
      <c r="E86" s="9" t="s">
        <v>777</v>
      </c>
      <c r="F86" s="9" t="s">
        <v>778</v>
      </c>
      <c r="G86" s="9" t="s">
        <v>779</v>
      </c>
      <c r="L86" s="13">
        <f>$I$34*$L$34</f>
        <v>0</v>
      </c>
      <c r="M86" s="13">
        <f>$I$34*$M$34</f>
        <v>0</v>
      </c>
      <c r="N86" s="13">
        <f ca="1">$I$34*$N$34</f>
        <v>0</v>
      </c>
      <c r="O86" s="13">
        <f>$I$34*$O$34</f>
        <v>0</v>
      </c>
      <c r="P86" s="13">
        <f>$I$34*$P$34</f>
        <v>0</v>
      </c>
      <c r="Q86" s="13">
        <f>$I$34*$Q$34</f>
        <v>0</v>
      </c>
      <c r="R86" s="13">
        <f>$I$34*$R$34</f>
        <v>0</v>
      </c>
      <c r="S86" s="13">
        <f>$I$34*$S$34</f>
        <v>0</v>
      </c>
      <c r="T86" s="13">
        <f>$I$34*$T$34</f>
        <v>0</v>
      </c>
      <c r="U86" s="13">
        <f>$I$34*$U$34</f>
        <v>0</v>
      </c>
      <c r="V86" s="13">
        <f>$I$34*$V$34</f>
        <v>0</v>
      </c>
      <c r="W86" s="13">
        <f>$I$34*$W$34</f>
        <v>0</v>
      </c>
      <c r="X86" s="13">
        <f>$I$34*$X$34</f>
        <v>0</v>
      </c>
      <c r="Y86" s="13">
        <f>$I$34*$Y$34</f>
        <v>0</v>
      </c>
      <c r="Z86" s="13">
        <f>$I$34*$Z$34</f>
        <v>0</v>
      </c>
      <c r="AA86" s="13">
        <f>$I$34*$AA$34</f>
        <v>0</v>
      </c>
      <c r="AB86" s="13">
        <f ca="1">$I$34*$AB$34</f>
        <v>0</v>
      </c>
      <c r="AC86" s="13">
        <f ca="1">$I$34*$AC$34</f>
        <v>0</v>
      </c>
      <c r="AD86" s="13">
        <f>$I$34*$AD$34</f>
        <v>0</v>
      </c>
      <c r="AE86" s="13">
        <f>$I$34*$AE$34</f>
        <v>0</v>
      </c>
      <c r="AF86" s="13">
        <f ca="1">$I$34*$AF$34</f>
        <v>0</v>
      </c>
      <c r="AG86" s="13">
        <f ca="1">$I$34*$AG$34</f>
        <v>0</v>
      </c>
      <c r="AI86" s="13">
        <f>$I$34*$AI$34</f>
        <v>0</v>
      </c>
      <c r="AJ86" s="13">
        <f>$I$34*$AJ$34</f>
        <v>0</v>
      </c>
      <c r="AK86" s="13">
        <f>$I$34*$AK$34</f>
        <v>0</v>
      </c>
      <c r="AL86" s="13">
        <f>$I$34*$AL$34</f>
        <v>0</v>
      </c>
      <c r="AM86" s="13">
        <f>$I$34*$AM$34</f>
        <v>0</v>
      </c>
      <c r="AN86" s="13">
        <f>$I$34*$AN$34</f>
        <v>0</v>
      </c>
      <c r="AO86" s="13">
        <f>$I$34*$AO$34</f>
        <v>0</v>
      </c>
      <c r="AP86" s="13">
        <f>$I$34*$AP$34</f>
        <v>0</v>
      </c>
      <c r="AQ86" s="13">
        <f>$I$34*$AQ$34</f>
        <v>0</v>
      </c>
      <c r="AR86" s="13">
        <f>$I$34*$AR$34</f>
        <v>0</v>
      </c>
      <c r="AS86" s="13">
        <f>$I$34*$AS$34</f>
        <v>0</v>
      </c>
      <c r="AT86" s="13">
        <f>$I$34*$AT$34</f>
        <v>0</v>
      </c>
      <c r="AU86" s="13">
        <f>$I$34*$AU$34</f>
        <v>0</v>
      </c>
      <c r="AV86" s="13">
        <f>$I$34*$AV$34</f>
        <v>0</v>
      </c>
      <c r="AW86" s="13">
        <f>$I$34*$AW$34</f>
        <v>0</v>
      </c>
      <c r="AX86" s="13">
        <f>$I$34*$AX$34</f>
        <v>0</v>
      </c>
      <c r="AY86" s="13">
        <f>$I$34*$AY$34</f>
        <v>0</v>
      </c>
      <c r="AZ86" s="13">
        <f>$I$34*$AZ$34</f>
        <v>0</v>
      </c>
      <c r="BA86" s="13">
        <f>$I$34*$BA$34</f>
        <v>0</v>
      </c>
      <c r="BB86" s="13">
        <f>$I$34*$BB$34</f>
        <v>0</v>
      </c>
      <c r="BC86" s="13">
        <f>$I$34*$BC$34</f>
        <v>0</v>
      </c>
      <c r="BD86" s="13">
        <f>$I$34*$BD$34</f>
        <v>0</v>
      </c>
    </row>
    <row r="87" spans="1:56" ht="11.25" customHeight="1" x14ac:dyDescent="0.3">
      <c r="A87" s="9" t="s">
        <v>39</v>
      </c>
      <c r="B87" s="9" t="s">
        <v>762</v>
      </c>
      <c r="C87" s="9" t="s">
        <v>763</v>
      </c>
      <c r="D87" s="9" t="s">
        <v>776</v>
      </c>
      <c r="E87" s="9" t="s">
        <v>777</v>
      </c>
      <c r="F87" s="9" t="s">
        <v>778</v>
      </c>
      <c r="G87" s="9" t="s">
        <v>780</v>
      </c>
      <c r="L87" s="13">
        <f>$I$35*$L$35</f>
        <v>0</v>
      </c>
      <c r="M87" s="13">
        <f>$I$35*$M$35</f>
        <v>0</v>
      </c>
      <c r="N87" s="13">
        <f ca="1">$I$35*$N$35</f>
        <v>0</v>
      </c>
      <c r="O87" s="13">
        <f>$I$35*$O$35</f>
        <v>0</v>
      </c>
      <c r="P87" s="13">
        <f>$I$35*$P$35</f>
        <v>0</v>
      </c>
      <c r="Q87" s="13">
        <f>$I$35*$Q$35</f>
        <v>0</v>
      </c>
      <c r="R87" s="13">
        <f>$I$35*$R$35</f>
        <v>0</v>
      </c>
      <c r="S87" s="13">
        <f>$I$35*$S$35</f>
        <v>0</v>
      </c>
      <c r="T87" s="13">
        <f>$I$35*$T$35</f>
        <v>0</v>
      </c>
      <c r="U87" s="13">
        <f>$I$35*$U$35</f>
        <v>0</v>
      </c>
      <c r="V87" s="13">
        <f>$I$35*$V$35</f>
        <v>0</v>
      </c>
      <c r="W87" s="13">
        <f>$I$35*$W$35</f>
        <v>0</v>
      </c>
      <c r="X87" s="13">
        <f>$I$35*$X$35</f>
        <v>0</v>
      </c>
      <c r="Y87" s="13">
        <f>$I$35*$Y$35</f>
        <v>0</v>
      </c>
      <c r="Z87" s="13">
        <f>$I$35*$Z$35</f>
        <v>0</v>
      </c>
      <c r="AA87" s="13">
        <f>$I$35*$AA$35</f>
        <v>0</v>
      </c>
      <c r="AB87" s="13">
        <f ca="1">$I$35*$AB$35</f>
        <v>0</v>
      </c>
      <c r="AC87" s="13">
        <f ca="1">$I$35*$AC$35</f>
        <v>0</v>
      </c>
      <c r="AD87" s="13">
        <f>$I$35*$AD$35</f>
        <v>0</v>
      </c>
      <c r="AE87" s="13">
        <f>$I$35*$AE$35</f>
        <v>0</v>
      </c>
      <c r="AF87" s="13">
        <f ca="1">$I$35*$AF$35</f>
        <v>0</v>
      </c>
      <c r="AG87" s="13">
        <f ca="1">$I$35*$AG$35</f>
        <v>0</v>
      </c>
      <c r="AI87" s="13">
        <f>$I$35*$AI$35</f>
        <v>0</v>
      </c>
      <c r="AJ87" s="13">
        <f>$I$35*$AJ$35</f>
        <v>0</v>
      </c>
      <c r="AK87" s="13">
        <f>$I$35*$AK$35</f>
        <v>0</v>
      </c>
      <c r="AL87" s="13">
        <f>$I$35*$AL$35</f>
        <v>0</v>
      </c>
      <c r="AM87" s="13">
        <f>$I$35*$AM$35</f>
        <v>0</v>
      </c>
      <c r="AN87" s="13">
        <f>$I$35*$AN$35</f>
        <v>0</v>
      </c>
      <c r="AO87" s="13">
        <f>$I$35*$AO$35</f>
        <v>0</v>
      </c>
      <c r="AP87" s="13">
        <f>$I$35*$AP$35</f>
        <v>0</v>
      </c>
      <c r="AQ87" s="13">
        <f>$I$35*$AQ$35</f>
        <v>0</v>
      </c>
      <c r="AR87" s="13">
        <f>$I$35*$AR$35</f>
        <v>0</v>
      </c>
      <c r="AS87" s="13">
        <f>$I$35*$AS$35</f>
        <v>0</v>
      </c>
      <c r="AT87" s="13">
        <f>$I$35*$AT$35</f>
        <v>0</v>
      </c>
      <c r="AU87" s="13">
        <f>$I$35*$AU$35</f>
        <v>0</v>
      </c>
      <c r="AV87" s="13">
        <f>$I$35*$AV$35</f>
        <v>0</v>
      </c>
      <c r="AW87" s="13">
        <f>$I$35*$AW$35</f>
        <v>0</v>
      </c>
      <c r="AX87" s="13">
        <f>$I$35*$AX$35</f>
        <v>0</v>
      </c>
      <c r="AY87" s="13">
        <f>$I$35*$AY$35</f>
        <v>0</v>
      </c>
      <c r="AZ87" s="13">
        <f>$I$35*$AZ$35</f>
        <v>0</v>
      </c>
      <c r="BA87" s="13">
        <f>$I$35*$BA$35</f>
        <v>0</v>
      </c>
      <c r="BB87" s="13">
        <f>$I$35*$BB$35</f>
        <v>0</v>
      </c>
      <c r="BC87" s="13">
        <f>$I$35*$BC$35</f>
        <v>0</v>
      </c>
      <c r="BD87" s="13">
        <f>$I$35*$BD$35</f>
        <v>0</v>
      </c>
    </row>
    <row r="88" spans="1:56" ht="11.25" customHeight="1" x14ac:dyDescent="0.3">
      <c r="A88" s="9" t="s">
        <v>39</v>
      </c>
      <c r="B88" s="9" t="s">
        <v>762</v>
      </c>
      <c r="C88" s="9" t="s">
        <v>763</v>
      </c>
      <c r="D88" s="9" t="s">
        <v>776</v>
      </c>
      <c r="E88" s="9" t="s">
        <v>777</v>
      </c>
      <c r="F88" s="9" t="s">
        <v>778</v>
      </c>
      <c r="G88" s="9" t="s">
        <v>781</v>
      </c>
      <c r="L88" s="13">
        <f>$I$36*$L$36</f>
        <v>0</v>
      </c>
      <c r="M88" s="13">
        <f>$I$36*$M$36</f>
        <v>0</v>
      </c>
      <c r="N88" s="13">
        <f ca="1">$I$36*$N$36</f>
        <v>0</v>
      </c>
      <c r="O88" s="13">
        <f>$I$36*$O$36</f>
        <v>0</v>
      </c>
      <c r="P88" s="13">
        <f>$I$36*$P$36</f>
        <v>0</v>
      </c>
      <c r="Q88" s="13">
        <f>$I$36*$Q$36</f>
        <v>0</v>
      </c>
      <c r="R88" s="13">
        <f>$I$36*$R$36</f>
        <v>0</v>
      </c>
      <c r="S88" s="13">
        <f>$I$36*$S$36</f>
        <v>0</v>
      </c>
      <c r="T88" s="13">
        <f>$I$36*$T$36</f>
        <v>0</v>
      </c>
      <c r="U88" s="13">
        <f>$I$36*$U$36</f>
        <v>0</v>
      </c>
      <c r="V88" s="13">
        <f>$I$36*$V$36</f>
        <v>0</v>
      </c>
      <c r="W88" s="13">
        <f>$I$36*$W$36</f>
        <v>0</v>
      </c>
      <c r="X88" s="13">
        <f>$I$36*$X$36</f>
        <v>0</v>
      </c>
      <c r="Y88" s="13">
        <f>$I$36*$Y$36</f>
        <v>0</v>
      </c>
      <c r="Z88" s="13">
        <f>$I$36*$Z$36</f>
        <v>0</v>
      </c>
      <c r="AA88" s="13">
        <f>$I$36*$AA$36</f>
        <v>0</v>
      </c>
      <c r="AB88" s="13">
        <f ca="1">$I$36*$AB$36</f>
        <v>0</v>
      </c>
      <c r="AC88" s="13">
        <f ca="1">$I$36*$AC$36</f>
        <v>0</v>
      </c>
      <c r="AD88" s="13">
        <f>$I$36*$AD$36</f>
        <v>0</v>
      </c>
      <c r="AE88" s="13">
        <f>$I$36*$AE$36</f>
        <v>0</v>
      </c>
      <c r="AF88" s="13">
        <f ca="1">$I$36*$AF$36</f>
        <v>0</v>
      </c>
      <c r="AG88" s="13">
        <f ca="1">$I$36*$AG$36</f>
        <v>0</v>
      </c>
      <c r="AI88" s="13">
        <f>$I$36*$AI$36</f>
        <v>0</v>
      </c>
      <c r="AJ88" s="13">
        <f>$I$36*$AJ$36</f>
        <v>0</v>
      </c>
      <c r="AK88" s="13">
        <f>$I$36*$AK$36</f>
        <v>0</v>
      </c>
      <c r="AL88" s="13">
        <f>$I$36*$AL$36</f>
        <v>0</v>
      </c>
      <c r="AM88" s="13">
        <f>$I$36*$AM$36</f>
        <v>0</v>
      </c>
      <c r="AN88" s="13">
        <f>$I$36*$AN$36</f>
        <v>0</v>
      </c>
      <c r="AO88" s="13">
        <f>$I$36*$AO$36</f>
        <v>0</v>
      </c>
      <c r="AP88" s="13">
        <f>$I$36*$AP$36</f>
        <v>0</v>
      </c>
      <c r="AQ88" s="13">
        <f>$I$36*$AQ$36</f>
        <v>0</v>
      </c>
      <c r="AR88" s="13">
        <f>$I$36*$AR$36</f>
        <v>0</v>
      </c>
      <c r="AS88" s="13">
        <f>$I$36*$AS$36</f>
        <v>0</v>
      </c>
      <c r="AT88" s="13">
        <f>$I$36*$AT$36</f>
        <v>0</v>
      </c>
      <c r="AU88" s="13">
        <f>$I$36*$AU$36</f>
        <v>0</v>
      </c>
      <c r="AV88" s="13">
        <f>$I$36*$AV$36</f>
        <v>0</v>
      </c>
      <c r="AW88" s="13">
        <f>$I$36*$AW$36</f>
        <v>0</v>
      </c>
      <c r="AX88" s="13">
        <f>$I$36*$AX$36</f>
        <v>0</v>
      </c>
      <c r="AY88" s="13">
        <f>$I$36*$AY$36</f>
        <v>0</v>
      </c>
      <c r="AZ88" s="13">
        <f>$I$36*$AZ$36</f>
        <v>0</v>
      </c>
      <c r="BA88" s="13">
        <f>$I$36*$BA$36</f>
        <v>0</v>
      </c>
      <c r="BB88" s="13">
        <f>$I$36*$BB$36</f>
        <v>0</v>
      </c>
      <c r="BC88" s="13">
        <f>$I$36*$BC$36</f>
        <v>0</v>
      </c>
      <c r="BD88" s="13">
        <f>$I$36*$BD$36</f>
        <v>0</v>
      </c>
    </row>
    <row r="89" spans="1:56" ht="11.25" customHeight="1" x14ac:dyDescent="0.3">
      <c r="A89" s="9" t="s">
        <v>39</v>
      </c>
      <c r="B89" s="9" t="s">
        <v>770</v>
      </c>
      <c r="C89" s="9" t="s">
        <v>771</v>
      </c>
      <c r="D89" s="9" t="s">
        <v>782</v>
      </c>
      <c r="E89" s="9" t="s">
        <v>783</v>
      </c>
      <c r="F89" s="9" t="s">
        <v>784</v>
      </c>
      <c r="G89" s="9" t="s">
        <v>785</v>
      </c>
      <c r="L89" s="13">
        <f>$I$37*$L$37</f>
        <v>0</v>
      </c>
      <c r="M89" s="13">
        <f>$I$37*$M$37</f>
        <v>0</v>
      </c>
      <c r="N89" s="13">
        <f ca="1">$I$37*$N$37</f>
        <v>0</v>
      </c>
      <c r="O89" s="13">
        <f>$I$37*$O$37</f>
        <v>0</v>
      </c>
      <c r="P89" s="13">
        <f>$I$37*$P$37</f>
        <v>0</v>
      </c>
      <c r="Q89" s="13">
        <f>$I$37*$Q$37</f>
        <v>0</v>
      </c>
      <c r="R89" s="13">
        <f>$I$37*$R$37</f>
        <v>0</v>
      </c>
      <c r="S89" s="13">
        <f>$I$37*$S$37</f>
        <v>0</v>
      </c>
      <c r="T89" s="13">
        <f>$I$37*$T$37</f>
        <v>0</v>
      </c>
      <c r="U89" s="13">
        <f>$I$37*$U$37</f>
        <v>0</v>
      </c>
      <c r="V89" s="13">
        <f>$I$37*$V$37</f>
        <v>0</v>
      </c>
      <c r="W89" s="13">
        <f>$I$37*$W$37</f>
        <v>0</v>
      </c>
      <c r="X89" s="13">
        <f>$I$37*$X$37</f>
        <v>0</v>
      </c>
      <c r="Y89" s="13">
        <f>$I$37*$Y$37</f>
        <v>0</v>
      </c>
      <c r="Z89" s="13">
        <f>$I$37*$Z$37</f>
        <v>0</v>
      </c>
      <c r="AA89" s="13">
        <f>$I$37*$AA$37</f>
        <v>0</v>
      </c>
      <c r="AB89" s="13">
        <f ca="1">$I$37*$AB$37</f>
        <v>0</v>
      </c>
      <c r="AC89" s="13">
        <f ca="1">$I$37*$AC$37</f>
        <v>0</v>
      </c>
      <c r="AD89" s="13">
        <f>$I$37*$AD$37</f>
        <v>0</v>
      </c>
      <c r="AE89" s="13">
        <f>$I$37*$AE$37</f>
        <v>0</v>
      </c>
      <c r="AF89" s="13">
        <f ca="1">$I$37*$AF$37</f>
        <v>0</v>
      </c>
      <c r="AG89" s="13">
        <f ca="1">$I$37*$AG$37</f>
        <v>0</v>
      </c>
      <c r="AI89" s="13">
        <f>$I$37*$AI$37</f>
        <v>0</v>
      </c>
      <c r="AJ89" s="13">
        <f>$I$37*$AJ$37</f>
        <v>0</v>
      </c>
      <c r="AK89" s="13">
        <f>$I$37*$AK$37</f>
        <v>0</v>
      </c>
      <c r="AL89" s="13">
        <f>$I$37*$AL$37</f>
        <v>0</v>
      </c>
      <c r="AM89" s="13">
        <f>$I$37*$AM$37</f>
        <v>0</v>
      </c>
      <c r="AN89" s="13">
        <f>$I$37*$AN$37</f>
        <v>0</v>
      </c>
      <c r="AO89" s="13">
        <f>$I$37*$AO$37</f>
        <v>0</v>
      </c>
      <c r="AP89" s="13">
        <f>$I$37*$AP$37</f>
        <v>0</v>
      </c>
      <c r="AQ89" s="13">
        <f>$I$37*$AQ$37</f>
        <v>0</v>
      </c>
      <c r="AR89" s="13">
        <f>$I$37*$AR$37</f>
        <v>0</v>
      </c>
      <c r="AS89" s="13">
        <f>$I$37*$AS$37</f>
        <v>0</v>
      </c>
      <c r="AT89" s="13">
        <f>$I$37*$AT$37</f>
        <v>0</v>
      </c>
      <c r="AU89" s="13">
        <f>$I$37*$AU$37</f>
        <v>0</v>
      </c>
      <c r="AV89" s="13">
        <f>$I$37*$AV$37</f>
        <v>0</v>
      </c>
      <c r="AW89" s="13">
        <f>$I$37*$AW$37</f>
        <v>0</v>
      </c>
      <c r="AX89" s="13">
        <f>$I$37*$AX$37</f>
        <v>0</v>
      </c>
      <c r="AY89" s="13">
        <f>$I$37*$AY$37</f>
        <v>0</v>
      </c>
      <c r="AZ89" s="13">
        <f>$I$37*$AZ$37</f>
        <v>0</v>
      </c>
      <c r="BA89" s="13">
        <f>$I$37*$BA$37</f>
        <v>0</v>
      </c>
      <c r="BB89" s="13">
        <f>$I$37*$BB$37</f>
        <v>0</v>
      </c>
      <c r="BC89" s="13">
        <f>$I$37*$BC$37</f>
        <v>0</v>
      </c>
      <c r="BD89" s="13">
        <f>$I$37*$BD$37</f>
        <v>0</v>
      </c>
    </row>
    <row r="90" spans="1:56" ht="11.25" customHeight="1" x14ac:dyDescent="0.3">
      <c r="A90" s="9" t="s">
        <v>39</v>
      </c>
      <c r="B90" s="9" t="s">
        <v>762</v>
      </c>
      <c r="C90" s="9" t="s">
        <v>763</v>
      </c>
      <c r="D90" s="9" t="s">
        <v>786</v>
      </c>
      <c r="E90" s="9" t="s">
        <v>787</v>
      </c>
      <c r="F90" s="9" t="s">
        <v>788</v>
      </c>
      <c r="G90" s="9" t="s">
        <v>789</v>
      </c>
      <c r="L90" s="13">
        <f>$I$38*$L$38</f>
        <v>0</v>
      </c>
      <c r="M90" s="13">
        <f>$I$38*$M$38</f>
        <v>0</v>
      </c>
      <c r="N90" s="13">
        <f ca="1">$I$38*$N$38</f>
        <v>0</v>
      </c>
      <c r="O90" s="13">
        <f>$I$38*$O$38</f>
        <v>0</v>
      </c>
      <c r="P90" s="13">
        <f>$I$38*$P$38</f>
        <v>0</v>
      </c>
      <c r="Q90" s="13">
        <f>$I$38*$Q$38</f>
        <v>0</v>
      </c>
      <c r="R90" s="13">
        <f>$I$38*$R$38</f>
        <v>0</v>
      </c>
      <c r="S90" s="13">
        <f>$I$38*$S$38</f>
        <v>0</v>
      </c>
      <c r="T90" s="13">
        <f>$I$38*$T$38</f>
        <v>0</v>
      </c>
      <c r="U90" s="13">
        <f>$I$38*$U$38</f>
        <v>0</v>
      </c>
      <c r="V90" s="13">
        <f>$I$38*$V$38</f>
        <v>0</v>
      </c>
      <c r="W90" s="13">
        <f>$I$38*$W$38</f>
        <v>0</v>
      </c>
      <c r="X90" s="13">
        <f>$I$38*$X$38</f>
        <v>0</v>
      </c>
      <c r="Y90" s="13">
        <f>$I$38*$Y$38</f>
        <v>0</v>
      </c>
      <c r="Z90" s="13">
        <f>$I$38*$Z$38</f>
        <v>0</v>
      </c>
      <c r="AA90" s="13">
        <f>$I$38*$AA$38</f>
        <v>0</v>
      </c>
      <c r="AB90" s="13">
        <f ca="1">$I$38*$AB$38</f>
        <v>0</v>
      </c>
      <c r="AC90" s="13">
        <f ca="1">$I$38*$AC$38</f>
        <v>0</v>
      </c>
      <c r="AD90" s="13">
        <f>$I$38*$AD$38</f>
        <v>0</v>
      </c>
      <c r="AE90" s="13">
        <f>$I$38*$AE$38</f>
        <v>0</v>
      </c>
      <c r="AF90" s="13">
        <f ca="1">$I$38*$AF$38</f>
        <v>0</v>
      </c>
      <c r="AG90" s="13">
        <f ca="1">$I$38*$AG$38</f>
        <v>0</v>
      </c>
      <c r="AI90" s="13">
        <f>$I$38*$AI$38</f>
        <v>0</v>
      </c>
      <c r="AJ90" s="13">
        <f>$I$38*$AJ$38</f>
        <v>0</v>
      </c>
      <c r="AK90" s="13">
        <f>$I$38*$AK$38</f>
        <v>0</v>
      </c>
      <c r="AL90" s="13">
        <f>$I$38*$AL$38</f>
        <v>0</v>
      </c>
      <c r="AM90" s="13">
        <f>$I$38*$AM$38</f>
        <v>0</v>
      </c>
      <c r="AN90" s="13">
        <f>$I$38*$AN$38</f>
        <v>0</v>
      </c>
      <c r="AO90" s="13">
        <f>$I$38*$AO$38</f>
        <v>0</v>
      </c>
      <c r="AP90" s="13">
        <f>$I$38*$AP$38</f>
        <v>0</v>
      </c>
      <c r="AQ90" s="13">
        <f>$I$38*$AQ$38</f>
        <v>0</v>
      </c>
      <c r="AR90" s="13">
        <f>$I$38*$AR$38</f>
        <v>0</v>
      </c>
      <c r="AS90" s="13">
        <f>$I$38*$AS$38</f>
        <v>0</v>
      </c>
      <c r="AT90" s="13">
        <f>$I$38*$AT$38</f>
        <v>0</v>
      </c>
      <c r="AU90" s="13">
        <f>$I$38*$AU$38</f>
        <v>0</v>
      </c>
      <c r="AV90" s="13">
        <f>$I$38*$AV$38</f>
        <v>0</v>
      </c>
      <c r="AW90" s="13">
        <f>$I$38*$AW$38</f>
        <v>0</v>
      </c>
      <c r="AX90" s="13">
        <f>$I$38*$AX$38</f>
        <v>0</v>
      </c>
      <c r="AY90" s="13">
        <f>$I$38*$AY$38</f>
        <v>0</v>
      </c>
      <c r="AZ90" s="13">
        <f>$I$38*$AZ$38</f>
        <v>0</v>
      </c>
      <c r="BA90" s="13">
        <f>$I$38*$BA$38</f>
        <v>0</v>
      </c>
      <c r="BB90" s="13">
        <f>$I$38*$BB$38</f>
        <v>0</v>
      </c>
      <c r="BC90" s="13">
        <f>$I$38*$BC$38</f>
        <v>0</v>
      </c>
      <c r="BD90" s="13">
        <f>$I$38*$BD$38</f>
        <v>0</v>
      </c>
    </row>
    <row r="91" spans="1:56" ht="11.25" customHeight="1" x14ac:dyDescent="0.3">
      <c r="A91" s="9" t="s">
        <v>39</v>
      </c>
      <c r="B91" s="9" t="s">
        <v>762</v>
      </c>
      <c r="C91" s="9" t="s">
        <v>763</v>
      </c>
      <c r="D91" s="9" t="s">
        <v>786</v>
      </c>
      <c r="E91" s="9" t="s">
        <v>787</v>
      </c>
      <c r="F91" s="9" t="s">
        <v>788</v>
      </c>
      <c r="G91" s="9" t="s">
        <v>790</v>
      </c>
      <c r="L91" s="13">
        <f>$I$39*$L$39</f>
        <v>0</v>
      </c>
      <c r="M91" s="13">
        <f>$I$39*$M$39</f>
        <v>0</v>
      </c>
      <c r="N91" s="13">
        <f ca="1">$I$39*$N$39</f>
        <v>0</v>
      </c>
      <c r="O91" s="13">
        <f>$I$39*$O$39</f>
        <v>0</v>
      </c>
      <c r="P91" s="13">
        <f>$I$39*$P$39</f>
        <v>0</v>
      </c>
      <c r="Q91" s="13">
        <f>$I$39*$Q$39</f>
        <v>0</v>
      </c>
      <c r="R91" s="13">
        <f>$I$39*$R$39</f>
        <v>0</v>
      </c>
      <c r="S91" s="13">
        <f>$I$39*$S$39</f>
        <v>0</v>
      </c>
      <c r="T91" s="13">
        <f>$I$39*$T$39</f>
        <v>0</v>
      </c>
      <c r="U91" s="13">
        <f>$I$39*$U$39</f>
        <v>0</v>
      </c>
      <c r="V91" s="13">
        <f>$I$39*$V$39</f>
        <v>0</v>
      </c>
      <c r="W91" s="13">
        <f>$I$39*$W$39</f>
        <v>0</v>
      </c>
      <c r="X91" s="13">
        <f>$I$39*$X$39</f>
        <v>0</v>
      </c>
      <c r="Y91" s="13">
        <f>$I$39*$Y$39</f>
        <v>0</v>
      </c>
      <c r="Z91" s="13">
        <f>$I$39*$Z$39</f>
        <v>0</v>
      </c>
      <c r="AA91" s="13">
        <f>$I$39*$AA$39</f>
        <v>0</v>
      </c>
      <c r="AB91" s="13">
        <f ca="1">$I$39*$AB$39</f>
        <v>0</v>
      </c>
      <c r="AC91" s="13">
        <f ca="1">$I$39*$AC$39</f>
        <v>0</v>
      </c>
      <c r="AD91" s="13">
        <f>$I$39*$AD$39</f>
        <v>0</v>
      </c>
      <c r="AE91" s="13">
        <f>$I$39*$AE$39</f>
        <v>0</v>
      </c>
      <c r="AF91" s="13">
        <f ca="1">$I$39*$AF$39</f>
        <v>0</v>
      </c>
      <c r="AG91" s="13">
        <f ca="1">$I$39*$AG$39</f>
        <v>0</v>
      </c>
      <c r="AI91" s="13">
        <f>$I$39*$AI$39</f>
        <v>0</v>
      </c>
      <c r="AJ91" s="13">
        <f>$I$39*$AJ$39</f>
        <v>0</v>
      </c>
      <c r="AK91" s="13">
        <f>$I$39*$AK$39</f>
        <v>0</v>
      </c>
      <c r="AL91" s="13">
        <f>$I$39*$AL$39</f>
        <v>0</v>
      </c>
      <c r="AM91" s="13">
        <f>$I$39*$AM$39</f>
        <v>0</v>
      </c>
      <c r="AN91" s="13">
        <f>$I$39*$AN$39</f>
        <v>0</v>
      </c>
      <c r="AO91" s="13">
        <f>$I$39*$AO$39</f>
        <v>0</v>
      </c>
      <c r="AP91" s="13">
        <f>$I$39*$AP$39</f>
        <v>0</v>
      </c>
      <c r="AQ91" s="13">
        <f>$I$39*$AQ$39</f>
        <v>0</v>
      </c>
      <c r="AR91" s="13">
        <f>$I$39*$AR$39</f>
        <v>0</v>
      </c>
      <c r="AS91" s="13">
        <f>$I$39*$AS$39</f>
        <v>0</v>
      </c>
      <c r="AT91" s="13">
        <f>$I$39*$AT$39</f>
        <v>0</v>
      </c>
      <c r="AU91" s="13">
        <f>$I$39*$AU$39</f>
        <v>0</v>
      </c>
      <c r="AV91" s="13">
        <f>$I$39*$AV$39</f>
        <v>0</v>
      </c>
      <c r="AW91" s="13">
        <f>$I$39*$AW$39</f>
        <v>0</v>
      </c>
      <c r="AX91" s="13">
        <f>$I$39*$AX$39</f>
        <v>0</v>
      </c>
      <c r="AY91" s="13">
        <f>$I$39*$AY$39</f>
        <v>0</v>
      </c>
      <c r="AZ91" s="13">
        <f>$I$39*$AZ$39</f>
        <v>0</v>
      </c>
      <c r="BA91" s="13">
        <f>$I$39*$BA$39</f>
        <v>0</v>
      </c>
      <c r="BB91" s="13">
        <f>$I$39*$BB$39</f>
        <v>0</v>
      </c>
      <c r="BC91" s="13">
        <f>$I$39*$BC$39</f>
        <v>0</v>
      </c>
      <c r="BD91" s="13">
        <f>$I$39*$BD$39</f>
        <v>0</v>
      </c>
    </row>
    <row r="92" spans="1:56" ht="11.25" customHeight="1" x14ac:dyDescent="0.3">
      <c r="A92" s="9" t="s">
        <v>39</v>
      </c>
      <c r="B92" s="9" t="s">
        <v>762</v>
      </c>
      <c r="C92" s="9" t="s">
        <v>763</v>
      </c>
      <c r="D92" s="9" t="s">
        <v>786</v>
      </c>
      <c r="E92" s="9" t="s">
        <v>787</v>
      </c>
      <c r="F92" s="9" t="s">
        <v>788</v>
      </c>
      <c r="G92" s="9" t="s">
        <v>791</v>
      </c>
      <c r="L92" s="13">
        <f>$I$40*$L$40</f>
        <v>0</v>
      </c>
      <c r="M92" s="13">
        <f>$I$40*$M$40</f>
        <v>0</v>
      </c>
      <c r="N92" s="13">
        <f ca="1">$I$40*$N$40</f>
        <v>0</v>
      </c>
      <c r="O92" s="13">
        <f>$I$40*$O$40</f>
        <v>0</v>
      </c>
      <c r="P92" s="13">
        <f>$I$40*$P$40</f>
        <v>0</v>
      </c>
      <c r="Q92" s="13">
        <f>$I$40*$Q$40</f>
        <v>0</v>
      </c>
      <c r="R92" s="13">
        <f>$I$40*$R$40</f>
        <v>0</v>
      </c>
      <c r="S92" s="13">
        <f>$I$40*$S$40</f>
        <v>0</v>
      </c>
      <c r="T92" s="13">
        <f>$I$40*$T$40</f>
        <v>0</v>
      </c>
      <c r="U92" s="13">
        <f>$I$40*$U$40</f>
        <v>0</v>
      </c>
      <c r="V92" s="13">
        <f>$I$40*$V$40</f>
        <v>0</v>
      </c>
      <c r="W92" s="13">
        <f>$I$40*$W$40</f>
        <v>0</v>
      </c>
      <c r="X92" s="13">
        <f>$I$40*$X$40</f>
        <v>0</v>
      </c>
      <c r="Y92" s="13">
        <f>$I$40*$Y$40</f>
        <v>0</v>
      </c>
      <c r="Z92" s="13">
        <f>$I$40*$Z$40</f>
        <v>0</v>
      </c>
      <c r="AA92" s="13">
        <f>$I$40*$AA$40</f>
        <v>0</v>
      </c>
      <c r="AB92" s="13">
        <f ca="1">$I$40*$AB$40</f>
        <v>0</v>
      </c>
      <c r="AC92" s="13">
        <f ca="1">$I$40*$AC$40</f>
        <v>0</v>
      </c>
      <c r="AD92" s="13">
        <f>$I$40*$AD$40</f>
        <v>0</v>
      </c>
      <c r="AE92" s="13">
        <f>$I$40*$AE$40</f>
        <v>0</v>
      </c>
      <c r="AF92" s="13">
        <f ca="1">$I$40*$AF$40</f>
        <v>0</v>
      </c>
      <c r="AG92" s="13">
        <f ca="1">$I$40*$AG$40</f>
        <v>0</v>
      </c>
      <c r="AI92" s="13">
        <f>$I$40*$AI$40</f>
        <v>0</v>
      </c>
      <c r="AJ92" s="13">
        <f>$I$40*$AJ$40</f>
        <v>0</v>
      </c>
      <c r="AK92" s="13">
        <f>$I$40*$AK$40</f>
        <v>0</v>
      </c>
      <c r="AL92" s="13">
        <f>$I$40*$AL$40</f>
        <v>0</v>
      </c>
      <c r="AM92" s="13">
        <f>$I$40*$AM$40</f>
        <v>0</v>
      </c>
      <c r="AN92" s="13">
        <f>$I$40*$AN$40</f>
        <v>0</v>
      </c>
      <c r="AO92" s="13">
        <f>$I$40*$AO$40</f>
        <v>0</v>
      </c>
      <c r="AP92" s="13">
        <f>$I$40*$AP$40</f>
        <v>0</v>
      </c>
      <c r="AQ92" s="13">
        <f>$I$40*$AQ$40</f>
        <v>0</v>
      </c>
      <c r="AR92" s="13">
        <f>$I$40*$AR$40</f>
        <v>0</v>
      </c>
      <c r="AS92" s="13">
        <f>$I$40*$AS$40</f>
        <v>0</v>
      </c>
      <c r="AT92" s="13">
        <f>$I$40*$AT$40</f>
        <v>0</v>
      </c>
      <c r="AU92" s="13">
        <f>$I$40*$AU$40</f>
        <v>0</v>
      </c>
      <c r="AV92" s="13">
        <f>$I$40*$AV$40</f>
        <v>0</v>
      </c>
      <c r="AW92" s="13">
        <f>$I$40*$AW$40</f>
        <v>0</v>
      </c>
      <c r="AX92" s="13">
        <f>$I$40*$AX$40</f>
        <v>0</v>
      </c>
      <c r="AY92" s="13">
        <f>$I$40*$AY$40</f>
        <v>0</v>
      </c>
      <c r="AZ92" s="13">
        <f>$I$40*$AZ$40</f>
        <v>0</v>
      </c>
      <c r="BA92" s="13">
        <f>$I$40*$BA$40</f>
        <v>0</v>
      </c>
      <c r="BB92" s="13">
        <f>$I$40*$BB$40</f>
        <v>0</v>
      </c>
      <c r="BC92" s="13">
        <f>$I$40*$BC$40</f>
        <v>0</v>
      </c>
      <c r="BD92" s="13">
        <f>$I$40*$BD$40</f>
        <v>0</v>
      </c>
    </row>
    <row r="93" spans="1:56" ht="11.25" customHeight="1" x14ac:dyDescent="0.3">
      <c r="A93" s="9" t="s">
        <v>39</v>
      </c>
      <c r="B93" s="9" t="s">
        <v>770</v>
      </c>
      <c r="C93" s="9" t="s">
        <v>771</v>
      </c>
      <c r="D93" s="9" t="s">
        <v>792</v>
      </c>
      <c r="E93" s="9" t="s">
        <v>793</v>
      </c>
      <c r="F93" s="9" t="s">
        <v>794</v>
      </c>
      <c r="G93" s="9" t="s">
        <v>795</v>
      </c>
      <c r="L93" s="13">
        <f>$I$41*$L$41</f>
        <v>0</v>
      </c>
      <c r="M93" s="13">
        <f>$I$41*$M$41</f>
        <v>0</v>
      </c>
      <c r="N93" s="13">
        <f ca="1">$I$41*$N$41</f>
        <v>0</v>
      </c>
      <c r="O93" s="13">
        <f>$I$41*$O$41</f>
        <v>0</v>
      </c>
      <c r="P93" s="13">
        <f>$I$41*$P$41</f>
        <v>0</v>
      </c>
      <c r="Q93" s="13">
        <f>$I$41*$Q$41</f>
        <v>0</v>
      </c>
      <c r="R93" s="13">
        <f>$I$41*$R$41</f>
        <v>0</v>
      </c>
      <c r="S93" s="13">
        <f>$I$41*$S$41</f>
        <v>0</v>
      </c>
      <c r="T93" s="13">
        <f>$I$41*$T$41</f>
        <v>0</v>
      </c>
      <c r="U93" s="13">
        <f>$I$41*$U$41</f>
        <v>0</v>
      </c>
      <c r="V93" s="13">
        <f>$I$41*$V$41</f>
        <v>0</v>
      </c>
      <c r="W93" s="13">
        <f>$I$41*$W$41</f>
        <v>0</v>
      </c>
      <c r="X93" s="13">
        <f>$I$41*$X$41</f>
        <v>0</v>
      </c>
      <c r="Y93" s="13">
        <f>$I$41*$Y$41</f>
        <v>0</v>
      </c>
      <c r="Z93" s="13">
        <f>$I$41*$Z$41</f>
        <v>0</v>
      </c>
      <c r="AA93" s="13">
        <f>$I$41*$AA$41</f>
        <v>0</v>
      </c>
      <c r="AB93" s="13">
        <f ca="1">$I$41*$AB$41</f>
        <v>0</v>
      </c>
      <c r="AC93" s="13">
        <f ca="1">$I$41*$AC$41</f>
        <v>0</v>
      </c>
      <c r="AD93" s="13">
        <f>$I$41*$AD$41</f>
        <v>0</v>
      </c>
      <c r="AE93" s="13">
        <f>$I$41*$AE$41</f>
        <v>0</v>
      </c>
      <c r="AF93" s="13">
        <f ca="1">$I$41*$AF$41</f>
        <v>0</v>
      </c>
      <c r="AG93" s="13">
        <f ca="1">$I$41*$AG$41</f>
        <v>0</v>
      </c>
      <c r="AI93" s="13">
        <f>$I$41*$AI$41</f>
        <v>0</v>
      </c>
      <c r="AJ93" s="13">
        <f>$I$41*$AJ$41</f>
        <v>0</v>
      </c>
      <c r="AK93" s="13">
        <f>$I$41*$AK$41</f>
        <v>0</v>
      </c>
      <c r="AL93" s="13">
        <f>$I$41*$AL$41</f>
        <v>0</v>
      </c>
      <c r="AM93" s="13">
        <f>$I$41*$AM$41</f>
        <v>0</v>
      </c>
      <c r="AN93" s="13">
        <f>$I$41*$AN$41</f>
        <v>0</v>
      </c>
      <c r="AO93" s="13">
        <f>$I$41*$AO$41</f>
        <v>0</v>
      </c>
      <c r="AP93" s="13">
        <f>$I$41*$AP$41</f>
        <v>0</v>
      </c>
      <c r="AQ93" s="13">
        <f>$I$41*$AQ$41</f>
        <v>0</v>
      </c>
      <c r="AR93" s="13">
        <f>$I$41*$AR$41</f>
        <v>0</v>
      </c>
      <c r="AS93" s="13">
        <f>$I$41*$AS$41</f>
        <v>0</v>
      </c>
      <c r="AT93" s="13">
        <f>$I$41*$AT$41</f>
        <v>0</v>
      </c>
      <c r="AU93" s="13">
        <f>$I$41*$AU$41</f>
        <v>0</v>
      </c>
      <c r="AV93" s="13">
        <f>$I$41*$AV$41</f>
        <v>0</v>
      </c>
      <c r="AW93" s="13">
        <f>$I$41*$AW$41</f>
        <v>0</v>
      </c>
      <c r="AX93" s="13">
        <f>$I$41*$AX$41</f>
        <v>0</v>
      </c>
      <c r="AY93" s="13">
        <f>$I$41*$AY$41</f>
        <v>0</v>
      </c>
      <c r="AZ93" s="13">
        <f>$I$41*$AZ$41</f>
        <v>0</v>
      </c>
      <c r="BA93" s="13">
        <f>$I$41*$BA$41</f>
        <v>0</v>
      </c>
      <c r="BB93" s="13">
        <f>$I$41*$BB$41</f>
        <v>0</v>
      </c>
      <c r="BC93" s="13">
        <f>$I$41*$BC$41</f>
        <v>0</v>
      </c>
      <c r="BD93" s="13">
        <f>$I$41*$BD$41</f>
        <v>0</v>
      </c>
    </row>
    <row r="94" spans="1:56" ht="11.25" customHeight="1" x14ac:dyDescent="0.3">
      <c r="A94" s="9" t="s">
        <v>39</v>
      </c>
      <c r="B94" s="9" t="s">
        <v>796</v>
      </c>
      <c r="C94" s="9" t="s">
        <v>797</v>
      </c>
      <c r="D94" s="9" t="s">
        <v>798</v>
      </c>
      <c r="E94" s="9" t="s">
        <v>799</v>
      </c>
      <c r="F94" s="9" t="s">
        <v>800</v>
      </c>
      <c r="G94" s="9" t="s">
        <v>801</v>
      </c>
      <c r="L94" s="13">
        <f>$I$42*$L$42</f>
        <v>0</v>
      </c>
      <c r="M94" s="13">
        <f>$I$42*$M$42</f>
        <v>0</v>
      </c>
      <c r="N94" s="13">
        <f ca="1">$I$42*$N$42</f>
        <v>0</v>
      </c>
      <c r="O94" s="13">
        <f>$I$42*$O$42</f>
        <v>0</v>
      </c>
      <c r="P94" s="13">
        <f>$I$42*$P$42</f>
        <v>0</v>
      </c>
      <c r="Q94" s="13">
        <f>$I$42*$Q$42</f>
        <v>0</v>
      </c>
      <c r="R94" s="13">
        <f>$I$42*$R$42</f>
        <v>0</v>
      </c>
      <c r="S94" s="13">
        <f>$I$42*$S$42</f>
        <v>0</v>
      </c>
      <c r="T94" s="13">
        <f>$I$42*$T$42</f>
        <v>0</v>
      </c>
      <c r="U94" s="13">
        <f>$I$42*$U$42</f>
        <v>0</v>
      </c>
      <c r="V94" s="13">
        <f>$I$42*$V$42</f>
        <v>0</v>
      </c>
      <c r="W94" s="13">
        <f>$I$42*$W$42</f>
        <v>0</v>
      </c>
      <c r="X94" s="13">
        <f>$I$42*$X$42</f>
        <v>0</v>
      </c>
      <c r="Y94" s="13">
        <f>$I$42*$Y$42</f>
        <v>0</v>
      </c>
      <c r="Z94" s="13">
        <f>$I$42*$Z$42</f>
        <v>0</v>
      </c>
      <c r="AA94" s="13">
        <f>$I$42*$AA$42</f>
        <v>0</v>
      </c>
      <c r="AB94" s="13">
        <f ca="1">$I$42*$AB$42</f>
        <v>0</v>
      </c>
      <c r="AC94" s="13">
        <f ca="1">$I$42*$AC$42</f>
        <v>0</v>
      </c>
      <c r="AD94" s="13">
        <f>$I$42*$AD$42</f>
        <v>0</v>
      </c>
      <c r="AE94" s="13">
        <f>$I$42*$AE$42</f>
        <v>0</v>
      </c>
      <c r="AF94" s="13">
        <f ca="1">$I$42*$AF$42</f>
        <v>0</v>
      </c>
      <c r="AG94" s="13">
        <f ca="1">$I$42*$AG$42</f>
        <v>0</v>
      </c>
      <c r="AI94" s="13">
        <f>$I$42*$AI$42</f>
        <v>0</v>
      </c>
      <c r="AJ94" s="13">
        <f>$I$42*$AJ$42</f>
        <v>0</v>
      </c>
      <c r="AK94" s="13">
        <f>$I$42*$AK$42</f>
        <v>0</v>
      </c>
      <c r="AL94" s="13">
        <f>$I$42*$AL$42</f>
        <v>0</v>
      </c>
      <c r="AM94" s="13">
        <f>$I$42*$AM$42</f>
        <v>0</v>
      </c>
      <c r="AN94" s="13">
        <f>$I$42*$AN$42</f>
        <v>0</v>
      </c>
      <c r="AO94" s="13">
        <f>$I$42*$AO$42</f>
        <v>0</v>
      </c>
      <c r="AP94" s="13">
        <f>$I$42*$AP$42</f>
        <v>0</v>
      </c>
      <c r="AQ94" s="13">
        <f>$I$42*$AQ$42</f>
        <v>0</v>
      </c>
      <c r="AR94" s="13">
        <f>$I$42*$AR$42</f>
        <v>0</v>
      </c>
      <c r="AS94" s="13">
        <f>$I$42*$AS$42</f>
        <v>0</v>
      </c>
      <c r="AT94" s="13">
        <f>$I$42*$AT$42</f>
        <v>0</v>
      </c>
      <c r="AU94" s="13">
        <f>$I$42*$AU$42</f>
        <v>0</v>
      </c>
      <c r="AV94" s="13">
        <f>$I$42*$AV$42</f>
        <v>0</v>
      </c>
      <c r="AW94" s="13">
        <f>$I$42*$AW$42</f>
        <v>0</v>
      </c>
      <c r="AX94" s="13">
        <f>$I$42*$AX$42</f>
        <v>0</v>
      </c>
      <c r="AY94" s="13">
        <f>$I$42*$AY$42</f>
        <v>0</v>
      </c>
      <c r="AZ94" s="13">
        <f>$I$42*$AZ$42</f>
        <v>0</v>
      </c>
      <c r="BA94" s="13">
        <f>$I$42*$BA$42</f>
        <v>0</v>
      </c>
      <c r="BB94" s="13">
        <f>$I$42*$BB$42</f>
        <v>0</v>
      </c>
      <c r="BC94" s="13">
        <f>$I$42*$BC$42</f>
        <v>0</v>
      </c>
      <c r="BD94" s="13">
        <f>$I$42*$BD$42</f>
        <v>0</v>
      </c>
    </row>
    <row r="95" spans="1:56" ht="11.25" customHeight="1" x14ac:dyDescent="0.3">
      <c r="A95" s="9" t="s">
        <v>39</v>
      </c>
      <c r="B95" s="9" t="s">
        <v>796</v>
      </c>
      <c r="C95" s="9" t="s">
        <v>797</v>
      </c>
      <c r="D95" s="9" t="s">
        <v>802</v>
      </c>
      <c r="E95" s="9" t="s">
        <v>803</v>
      </c>
      <c r="F95" s="9" t="s">
        <v>804</v>
      </c>
      <c r="G95" s="9" t="s">
        <v>805</v>
      </c>
      <c r="L95" s="13">
        <f>$I$43*$L$43</f>
        <v>0</v>
      </c>
      <c r="M95" s="13">
        <f>$I$43*$M$43</f>
        <v>0</v>
      </c>
      <c r="N95" s="13">
        <f ca="1">$I$43*$N$43</f>
        <v>0</v>
      </c>
      <c r="O95" s="13">
        <f>$I$43*$O$43</f>
        <v>0</v>
      </c>
      <c r="P95" s="13">
        <f>$I$43*$P$43</f>
        <v>0</v>
      </c>
      <c r="Q95" s="13">
        <f>$I$43*$Q$43</f>
        <v>0</v>
      </c>
      <c r="R95" s="13">
        <f>$I$43*$R$43</f>
        <v>0</v>
      </c>
      <c r="S95" s="13">
        <f>$I$43*$S$43</f>
        <v>0</v>
      </c>
      <c r="T95" s="13">
        <f>$I$43*$T$43</f>
        <v>0</v>
      </c>
      <c r="U95" s="13">
        <f>$I$43*$U$43</f>
        <v>0</v>
      </c>
      <c r="V95" s="13">
        <f>$I$43*$V$43</f>
        <v>0</v>
      </c>
      <c r="W95" s="13">
        <f>$I$43*$W$43</f>
        <v>0</v>
      </c>
      <c r="X95" s="13">
        <f>$I$43*$X$43</f>
        <v>0</v>
      </c>
      <c r="Y95" s="13">
        <f>$I$43*$Y$43</f>
        <v>0</v>
      </c>
      <c r="Z95" s="13">
        <f>$I$43*$Z$43</f>
        <v>0</v>
      </c>
      <c r="AA95" s="13">
        <f>$I$43*$AA$43</f>
        <v>0</v>
      </c>
      <c r="AB95" s="13">
        <f ca="1">$I$43*$AB$43</f>
        <v>0</v>
      </c>
      <c r="AC95" s="13">
        <f ca="1">$I$43*$AC$43</f>
        <v>0</v>
      </c>
      <c r="AD95" s="13">
        <f>$I$43*$AD$43</f>
        <v>0</v>
      </c>
      <c r="AE95" s="13">
        <f>$I$43*$AE$43</f>
        <v>0</v>
      </c>
      <c r="AF95" s="13">
        <f ca="1">$I$43*$AF$43</f>
        <v>0</v>
      </c>
      <c r="AG95" s="13">
        <f ca="1">$I$43*$AG$43</f>
        <v>0</v>
      </c>
      <c r="AI95" s="13">
        <f>$I$43*$AI$43</f>
        <v>0</v>
      </c>
      <c r="AJ95" s="13">
        <f>$I$43*$AJ$43</f>
        <v>0</v>
      </c>
      <c r="AK95" s="13">
        <f>$I$43*$AK$43</f>
        <v>0</v>
      </c>
      <c r="AL95" s="13">
        <f>$I$43*$AL$43</f>
        <v>0</v>
      </c>
      <c r="AM95" s="13">
        <f>$I$43*$AM$43</f>
        <v>0</v>
      </c>
      <c r="AN95" s="13">
        <f>$I$43*$AN$43</f>
        <v>0</v>
      </c>
      <c r="AO95" s="13">
        <f>$I$43*$AO$43</f>
        <v>0</v>
      </c>
      <c r="AP95" s="13">
        <f>$I$43*$AP$43</f>
        <v>0</v>
      </c>
      <c r="AQ95" s="13">
        <f>$I$43*$AQ$43</f>
        <v>0</v>
      </c>
      <c r="AR95" s="13">
        <f>$I$43*$AR$43</f>
        <v>0</v>
      </c>
      <c r="AS95" s="13">
        <f>$I$43*$AS$43</f>
        <v>0</v>
      </c>
      <c r="AT95" s="13">
        <f>$I$43*$AT$43</f>
        <v>0</v>
      </c>
      <c r="AU95" s="13">
        <f>$I$43*$AU$43</f>
        <v>0</v>
      </c>
      <c r="AV95" s="13">
        <f>$I$43*$AV$43</f>
        <v>0</v>
      </c>
      <c r="AW95" s="13">
        <f>$I$43*$AW$43</f>
        <v>0</v>
      </c>
      <c r="AX95" s="13">
        <f>$I$43*$AX$43</f>
        <v>0</v>
      </c>
      <c r="AY95" s="13">
        <f>$I$43*$AY$43</f>
        <v>0</v>
      </c>
      <c r="AZ95" s="13">
        <f>$I$43*$AZ$43</f>
        <v>0</v>
      </c>
      <c r="BA95" s="13">
        <f>$I$43*$BA$43</f>
        <v>0</v>
      </c>
      <c r="BB95" s="13">
        <f>$I$43*$BB$43</f>
        <v>0</v>
      </c>
      <c r="BC95" s="13">
        <f>$I$43*$BC$43</f>
        <v>0</v>
      </c>
      <c r="BD95" s="13">
        <f>$I$43*$BD$43</f>
        <v>0</v>
      </c>
    </row>
    <row r="96" spans="1:56" ht="11.25" customHeight="1" x14ac:dyDescent="0.3">
      <c r="A96" s="9" t="s">
        <v>39</v>
      </c>
      <c r="B96" s="9" t="s">
        <v>796</v>
      </c>
      <c r="C96" s="9" t="s">
        <v>797</v>
      </c>
      <c r="D96" s="9" t="s">
        <v>806</v>
      </c>
      <c r="E96" s="9" t="s">
        <v>807</v>
      </c>
      <c r="F96" s="9" t="s">
        <v>808</v>
      </c>
      <c r="G96" s="9" t="s">
        <v>809</v>
      </c>
      <c r="L96" s="13">
        <f>$I$44*$L$44</f>
        <v>0</v>
      </c>
      <c r="M96" s="13">
        <f>$I$44*$M$44</f>
        <v>0</v>
      </c>
      <c r="N96" s="13">
        <f ca="1">$I$44*$N$44</f>
        <v>0</v>
      </c>
      <c r="O96" s="13">
        <f>$I$44*$O$44</f>
        <v>0</v>
      </c>
      <c r="P96" s="13">
        <f>$I$44*$P$44</f>
        <v>0</v>
      </c>
      <c r="Q96" s="13">
        <f>$I$44*$Q$44</f>
        <v>0</v>
      </c>
      <c r="R96" s="13">
        <f>$I$44*$R$44</f>
        <v>0</v>
      </c>
      <c r="S96" s="13">
        <f>$I$44*$S$44</f>
        <v>0</v>
      </c>
      <c r="T96" s="13">
        <f>$I$44*$T$44</f>
        <v>0</v>
      </c>
      <c r="U96" s="13">
        <f>$I$44*$U$44</f>
        <v>0</v>
      </c>
      <c r="V96" s="13">
        <f>$I$44*$V$44</f>
        <v>0</v>
      </c>
      <c r="W96" s="13">
        <f>$I$44*$W$44</f>
        <v>0</v>
      </c>
      <c r="X96" s="13">
        <f>$I$44*$X$44</f>
        <v>0</v>
      </c>
      <c r="Y96" s="13">
        <f>$I$44*$Y$44</f>
        <v>0</v>
      </c>
      <c r="Z96" s="13">
        <f>$I$44*$Z$44</f>
        <v>0</v>
      </c>
      <c r="AA96" s="13">
        <f>$I$44*$AA$44</f>
        <v>0</v>
      </c>
      <c r="AB96" s="13">
        <f ca="1">$I$44*$AB$44</f>
        <v>0</v>
      </c>
      <c r="AC96" s="13">
        <f ca="1">$I$44*$AC$44</f>
        <v>0</v>
      </c>
      <c r="AD96" s="13">
        <f>$I$44*$AD$44</f>
        <v>0</v>
      </c>
      <c r="AE96" s="13">
        <f>$I$44*$AE$44</f>
        <v>0</v>
      </c>
      <c r="AF96" s="13">
        <f ca="1">$I$44*$AF$44</f>
        <v>0</v>
      </c>
      <c r="AG96" s="13">
        <f ca="1">$I$44*$AG$44</f>
        <v>0</v>
      </c>
      <c r="AI96" s="13">
        <f>$I$44*$AI$44</f>
        <v>0</v>
      </c>
      <c r="AJ96" s="13">
        <f>$I$44*$AJ$44</f>
        <v>0</v>
      </c>
      <c r="AK96" s="13">
        <f>$I$44*$AK$44</f>
        <v>0</v>
      </c>
      <c r="AL96" s="13">
        <f>$I$44*$AL$44</f>
        <v>0</v>
      </c>
      <c r="AM96" s="13">
        <f>$I$44*$AM$44</f>
        <v>0</v>
      </c>
      <c r="AN96" s="13">
        <f>$I$44*$AN$44</f>
        <v>0</v>
      </c>
      <c r="AO96" s="13">
        <f>$I$44*$AO$44</f>
        <v>0</v>
      </c>
      <c r="AP96" s="13">
        <f>$I$44*$AP$44</f>
        <v>0</v>
      </c>
      <c r="AQ96" s="13">
        <f>$I$44*$AQ$44</f>
        <v>0</v>
      </c>
      <c r="AR96" s="13">
        <f>$I$44*$AR$44</f>
        <v>0</v>
      </c>
      <c r="AS96" s="13">
        <f>$I$44*$AS$44</f>
        <v>0</v>
      </c>
      <c r="AT96" s="13">
        <f>$I$44*$AT$44</f>
        <v>0</v>
      </c>
      <c r="AU96" s="13">
        <f>$I$44*$AU$44</f>
        <v>0</v>
      </c>
      <c r="AV96" s="13">
        <f>$I$44*$AV$44</f>
        <v>0</v>
      </c>
      <c r="AW96" s="13">
        <f>$I$44*$AW$44</f>
        <v>0</v>
      </c>
      <c r="AX96" s="13">
        <f>$I$44*$AX$44</f>
        <v>0</v>
      </c>
      <c r="AY96" s="13">
        <f>$I$44*$AY$44</f>
        <v>0</v>
      </c>
      <c r="AZ96" s="13">
        <f>$I$44*$AZ$44</f>
        <v>0</v>
      </c>
      <c r="BA96" s="13">
        <f>$I$44*$BA$44</f>
        <v>0</v>
      </c>
      <c r="BB96" s="13">
        <f>$I$44*$BB$44</f>
        <v>0</v>
      </c>
      <c r="BC96" s="13">
        <f>$I$44*$BC$44</f>
        <v>0</v>
      </c>
      <c r="BD96" s="13">
        <f>$I$44*$BD$44</f>
        <v>0</v>
      </c>
    </row>
    <row r="97" spans="1:56" ht="11.25" customHeight="1" x14ac:dyDescent="0.3">
      <c r="A97" s="9" t="s">
        <v>31</v>
      </c>
      <c r="B97" s="9" t="s">
        <v>810</v>
      </c>
      <c r="C97" s="9" t="s">
        <v>811</v>
      </c>
      <c r="D97" s="9" t="s">
        <v>812</v>
      </c>
      <c r="E97" s="9" t="s">
        <v>813</v>
      </c>
      <c r="F97" s="9" t="s">
        <v>814</v>
      </c>
      <c r="G97" s="9" t="s">
        <v>815</v>
      </c>
      <c r="L97" s="13">
        <f>$I$45*$L$45</f>
        <v>0</v>
      </c>
      <c r="M97" s="13">
        <f>$I$45*$M$45</f>
        <v>0</v>
      </c>
      <c r="N97" s="13">
        <f ca="1">$I$45*$N$45</f>
        <v>0</v>
      </c>
      <c r="O97" s="13">
        <f>$I$45*$O$45</f>
        <v>0</v>
      </c>
      <c r="P97" s="13">
        <f>$I$45*$P$45</f>
        <v>0</v>
      </c>
      <c r="Q97" s="13">
        <f>$I$45*$Q$45</f>
        <v>0</v>
      </c>
      <c r="R97" s="13">
        <f>$I$45*$R$45</f>
        <v>0</v>
      </c>
      <c r="S97" s="13">
        <f>$I$45*$S$45</f>
        <v>0</v>
      </c>
      <c r="T97" s="13">
        <f>$I$45*$T$45</f>
        <v>0</v>
      </c>
      <c r="U97" s="13">
        <f>$I$45*$U$45</f>
        <v>0</v>
      </c>
      <c r="V97" s="13">
        <f>$I$45*$V$45</f>
        <v>0</v>
      </c>
      <c r="W97" s="13">
        <f>$I$45*$W$45</f>
        <v>0</v>
      </c>
      <c r="X97" s="13">
        <f>$I$45*$X$45</f>
        <v>0</v>
      </c>
      <c r="Y97" s="13">
        <f>$I$45*$Y$45</f>
        <v>0</v>
      </c>
      <c r="Z97" s="13">
        <f>$I$45*$Z$45</f>
        <v>0</v>
      </c>
      <c r="AA97" s="13">
        <f>$I$45*$AA$45</f>
        <v>0</v>
      </c>
      <c r="AB97" s="13">
        <f ca="1">$I$45*$AB$45</f>
        <v>0</v>
      </c>
      <c r="AC97" s="13">
        <f ca="1">$I$45*$AC$45</f>
        <v>0</v>
      </c>
      <c r="AD97" s="13">
        <f>$I$45*$AD$45</f>
        <v>0</v>
      </c>
      <c r="AE97" s="13">
        <f>$I$45*$AE$45</f>
        <v>0</v>
      </c>
      <c r="AF97" s="13">
        <f ca="1">$I$45*$AF$45</f>
        <v>0</v>
      </c>
      <c r="AG97" s="13">
        <f ca="1">$I$45*$AG$45</f>
        <v>0</v>
      </c>
      <c r="AI97" s="13">
        <f>$I$45*$AI$45</f>
        <v>0</v>
      </c>
      <c r="AJ97" s="13">
        <f>$I$45*$AJ$45</f>
        <v>0</v>
      </c>
      <c r="AK97" s="13">
        <f>$I$45*$AK$45</f>
        <v>0</v>
      </c>
      <c r="AL97" s="13">
        <f>$I$45*$AL$45</f>
        <v>0</v>
      </c>
      <c r="AM97" s="13">
        <f>$I$45*$AM$45</f>
        <v>0</v>
      </c>
      <c r="AN97" s="13">
        <f>$I$45*$AN$45</f>
        <v>0</v>
      </c>
      <c r="AO97" s="13">
        <f>$I$45*$AO$45</f>
        <v>0</v>
      </c>
      <c r="AP97" s="13">
        <f>$I$45*$AP$45</f>
        <v>0</v>
      </c>
      <c r="AQ97" s="13">
        <f>$I$45*$AQ$45</f>
        <v>0</v>
      </c>
      <c r="AR97" s="13">
        <f>$I$45*$AR$45</f>
        <v>0</v>
      </c>
      <c r="AS97" s="13">
        <f>$I$45*$AS$45</f>
        <v>0</v>
      </c>
      <c r="AT97" s="13">
        <f>$I$45*$AT$45</f>
        <v>0</v>
      </c>
      <c r="AU97" s="13">
        <f>$I$45*$AU$45</f>
        <v>0</v>
      </c>
      <c r="AV97" s="13">
        <f>$I$45*$AV$45</f>
        <v>0</v>
      </c>
      <c r="AW97" s="13">
        <f>$I$45*$AW$45</f>
        <v>0</v>
      </c>
      <c r="AX97" s="13">
        <f>$I$45*$AX$45</f>
        <v>0</v>
      </c>
      <c r="AY97" s="13">
        <f>$I$45*$AY$45</f>
        <v>0</v>
      </c>
      <c r="AZ97" s="13">
        <f>$I$45*$AZ$45</f>
        <v>0</v>
      </c>
      <c r="BA97" s="13">
        <f>$I$45*$BA$45</f>
        <v>0</v>
      </c>
      <c r="BB97" s="13">
        <f>$I$45*$BB$45</f>
        <v>0</v>
      </c>
      <c r="BC97" s="13">
        <f>$I$45*$BC$45</f>
        <v>0</v>
      </c>
      <c r="BD97" s="13">
        <f>$I$45*$BD$45</f>
        <v>0</v>
      </c>
    </row>
    <row r="98" spans="1:56" ht="11.25" customHeight="1" x14ac:dyDescent="0.3">
      <c r="A98" s="9" t="s">
        <v>31</v>
      </c>
      <c r="B98" s="9" t="s">
        <v>810</v>
      </c>
      <c r="C98" s="9" t="s">
        <v>811</v>
      </c>
      <c r="D98" s="9" t="s">
        <v>812</v>
      </c>
      <c r="E98" s="9" t="s">
        <v>813</v>
      </c>
      <c r="F98" s="9" t="s">
        <v>814</v>
      </c>
      <c r="G98" s="9" t="s">
        <v>816</v>
      </c>
      <c r="L98" s="13">
        <f>$I$46*$L$46</f>
        <v>0</v>
      </c>
      <c r="M98" s="13">
        <f>$I$46*$M$46</f>
        <v>0</v>
      </c>
      <c r="N98" s="13">
        <f ca="1">$I$46*$N$46</f>
        <v>0</v>
      </c>
      <c r="O98" s="13">
        <f>$I$46*$O$46</f>
        <v>0</v>
      </c>
      <c r="P98" s="13">
        <f>$I$46*$P$46</f>
        <v>0</v>
      </c>
      <c r="Q98" s="13">
        <f>$I$46*$Q$46</f>
        <v>0</v>
      </c>
      <c r="R98" s="13">
        <f>$I$46*$R$46</f>
        <v>0</v>
      </c>
      <c r="S98" s="13">
        <f>$I$46*$S$46</f>
        <v>0</v>
      </c>
      <c r="T98" s="13">
        <f>$I$46*$T$46</f>
        <v>0</v>
      </c>
      <c r="U98" s="13">
        <f>$I$46*$U$46</f>
        <v>0</v>
      </c>
      <c r="V98" s="13">
        <f>$I$46*$V$46</f>
        <v>0</v>
      </c>
      <c r="W98" s="13">
        <f>$I$46*$W$46</f>
        <v>0</v>
      </c>
      <c r="X98" s="13">
        <f>$I$46*$X$46</f>
        <v>0</v>
      </c>
      <c r="Y98" s="13">
        <f>$I$46*$Y$46</f>
        <v>0</v>
      </c>
      <c r="Z98" s="13">
        <f>$I$46*$Z$46</f>
        <v>0</v>
      </c>
      <c r="AA98" s="13">
        <f>$I$46*$AA$46</f>
        <v>0</v>
      </c>
      <c r="AB98" s="13">
        <f ca="1">$I$46*$AB$46</f>
        <v>0</v>
      </c>
      <c r="AC98" s="13">
        <f ca="1">$I$46*$AC$46</f>
        <v>0</v>
      </c>
      <c r="AD98" s="13">
        <f>$I$46*$AD$46</f>
        <v>0</v>
      </c>
      <c r="AE98" s="13">
        <f>$I$46*$AE$46</f>
        <v>0</v>
      </c>
      <c r="AF98" s="13">
        <f ca="1">$I$46*$AF$46</f>
        <v>0</v>
      </c>
      <c r="AG98" s="13">
        <f ca="1">$I$46*$AG$46</f>
        <v>0</v>
      </c>
      <c r="AI98" s="13">
        <f>$I$46*$AI$46</f>
        <v>0</v>
      </c>
      <c r="AJ98" s="13">
        <f>$I$46*$AJ$46</f>
        <v>0</v>
      </c>
      <c r="AK98" s="13">
        <f>$I$46*$AK$46</f>
        <v>0</v>
      </c>
      <c r="AL98" s="13">
        <f>$I$46*$AL$46</f>
        <v>0</v>
      </c>
      <c r="AM98" s="13">
        <f>$I$46*$AM$46</f>
        <v>0</v>
      </c>
      <c r="AN98" s="13">
        <f>$I$46*$AN$46</f>
        <v>0</v>
      </c>
      <c r="AO98" s="13">
        <f>$I$46*$AO$46</f>
        <v>0</v>
      </c>
      <c r="AP98" s="13">
        <f>$I$46*$AP$46</f>
        <v>0</v>
      </c>
      <c r="AQ98" s="13">
        <f>$I$46*$AQ$46</f>
        <v>0</v>
      </c>
      <c r="AR98" s="13">
        <f>$I$46*$AR$46</f>
        <v>0</v>
      </c>
      <c r="AS98" s="13">
        <f>$I$46*$AS$46</f>
        <v>0</v>
      </c>
      <c r="AT98" s="13">
        <f>$I$46*$AT$46</f>
        <v>0</v>
      </c>
      <c r="AU98" s="13">
        <f>$I$46*$AU$46</f>
        <v>0</v>
      </c>
      <c r="AV98" s="13">
        <f>$I$46*$AV$46</f>
        <v>0</v>
      </c>
      <c r="AW98" s="13">
        <f>$I$46*$AW$46</f>
        <v>0</v>
      </c>
      <c r="AX98" s="13">
        <f>$I$46*$AX$46</f>
        <v>0</v>
      </c>
      <c r="AY98" s="13">
        <f>$I$46*$AY$46</f>
        <v>0</v>
      </c>
      <c r="AZ98" s="13">
        <f>$I$46*$AZ$46</f>
        <v>0</v>
      </c>
      <c r="BA98" s="13">
        <f>$I$46*$BA$46</f>
        <v>0</v>
      </c>
      <c r="BB98" s="13">
        <f>$I$46*$BB$46</f>
        <v>0</v>
      </c>
      <c r="BC98" s="13">
        <f>$I$46*$BC$46</f>
        <v>0</v>
      </c>
      <c r="BD98" s="13">
        <f>$I$46*$BD$46</f>
        <v>0</v>
      </c>
    </row>
    <row r="99" spans="1:56" ht="11.25" customHeight="1" x14ac:dyDescent="0.3">
      <c r="A99" s="9" t="s">
        <v>31</v>
      </c>
      <c r="B99" s="9" t="s">
        <v>810</v>
      </c>
      <c r="C99" s="9" t="s">
        <v>811</v>
      </c>
      <c r="D99" s="9" t="s">
        <v>812</v>
      </c>
      <c r="E99" s="9" t="s">
        <v>813</v>
      </c>
      <c r="F99" s="9" t="s">
        <v>814</v>
      </c>
      <c r="G99" s="9" t="s">
        <v>817</v>
      </c>
      <c r="L99" s="13">
        <f>$I$47*$L$47</f>
        <v>0</v>
      </c>
      <c r="M99" s="13">
        <f>$I$47*$M$47</f>
        <v>0</v>
      </c>
      <c r="N99" s="13">
        <f ca="1">$I$47*$N$47</f>
        <v>0</v>
      </c>
      <c r="O99" s="13">
        <f>$I$47*$O$47</f>
        <v>0</v>
      </c>
      <c r="P99" s="13">
        <f>$I$47*$P$47</f>
        <v>0</v>
      </c>
      <c r="Q99" s="13">
        <f>$I$47*$Q$47</f>
        <v>0</v>
      </c>
      <c r="R99" s="13">
        <f>$I$47*$R$47</f>
        <v>0</v>
      </c>
      <c r="S99" s="13">
        <f>$I$47*$S$47</f>
        <v>0</v>
      </c>
      <c r="T99" s="13">
        <f>$I$47*$T$47</f>
        <v>0</v>
      </c>
      <c r="U99" s="13">
        <f>$I$47*$U$47</f>
        <v>0</v>
      </c>
      <c r="V99" s="13">
        <f>$I$47*$V$47</f>
        <v>0</v>
      </c>
      <c r="W99" s="13">
        <f>$I$47*$W$47</f>
        <v>0</v>
      </c>
      <c r="X99" s="13">
        <f>$I$47*$X$47</f>
        <v>0</v>
      </c>
      <c r="Y99" s="13">
        <f>$I$47*$Y$47</f>
        <v>0</v>
      </c>
      <c r="Z99" s="13">
        <f>$I$47*$Z$47</f>
        <v>0</v>
      </c>
      <c r="AA99" s="13">
        <f>$I$47*$AA$47</f>
        <v>0</v>
      </c>
      <c r="AB99" s="13">
        <f ca="1">$I$47*$AB$47</f>
        <v>0</v>
      </c>
      <c r="AC99" s="13">
        <f ca="1">$I$47*$AC$47</f>
        <v>0</v>
      </c>
      <c r="AD99" s="13">
        <f>$I$47*$AD$47</f>
        <v>0</v>
      </c>
      <c r="AE99" s="13">
        <f>$I$47*$AE$47</f>
        <v>0</v>
      </c>
      <c r="AF99" s="13">
        <f ca="1">$I$47*$AF$47</f>
        <v>0</v>
      </c>
      <c r="AG99" s="13">
        <f ca="1">$I$47*$AG$47</f>
        <v>0</v>
      </c>
      <c r="AI99" s="13">
        <f>$I$47*$AI$47</f>
        <v>0</v>
      </c>
      <c r="AJ99" s="13">
        <f>$I$47*$AJ$47</f>
        <v>0</v>
      </c>
      <c r="AK99" s="13">
        <f>$I$47*$AK$47</f>
        <v>0</v>
      </c>
      <c r="AL99" s="13">
        <f>$I$47*$AL$47</f>
        <v>0</v>
      </c>
      <c r="AM99" s="13">
        <f>$I$47*$AM$47</f>
        <v>0</v>
      </c>
      <c r="AN99" s="13">
        <f>$I$47*$AN$47</f>
        <v>0</v>
      </c>
      <c r="AO99" s="13">
        <f>$I$47*$AO$47</f>
        <v>0</v>
      </c>
      <c r="AP99" s="13">
        <f>$I$47*$AP$47</f>
        <v>0</v>
      </c>
      <c r="AQ99" s="13">
        <f>$I$47*$AQ$47</f>
        <v>0</v>
      </c>
      <c r="AR99" s="13">
        <f>$I$47*$AR$47</f>
        <v>0</v>
      </c>
      <c r="AS99" s="13">
        <f>$I$47*$AS$47</f>
        <v>0</v>
      </c>
      <c r="AT99" s="13">
        <f>$I$47*$AT$47</f>
        <v>0</v>
      </c>
      <c r="AU99" s="13">
        <f>$I$47*$AU$47</f>
        <v>0</v>
      </c>
      <c r="AV99" s="13">
        <f>$I$47*$AV$47</f>
        <v>0</v>
      </c>
      <c r="AW99" s="13">
        <f>$I$47*$AW$47</f>
        <v>0</v>
      </c>
      <c r="AX99" s="13">
        <f>$I$47*$AX$47</f>
        <v>0</v>
      </c>
      <c r="AY99" s="13">
        <f>$I$47*$AY$47</f>
        <v>0</v>
      </c>
      <c r="AZ99" s="13">
        <f>$I$47*$AZ$47</f>
        <v>0</v>
      </c>
      <c r="BA99" s="13">
        <f>$I$47*$BA$47</f>
        <v>0</v>
      </c>
      <c r="BB99" s="13">
        <f>$I$47*$BB$47</f>
        <v>0</v>
      </c>
      <c r="BC99" s="13">
        <f>$I$47*$BC$47</f>
        <v>0</v>
      </c>
      <c r="BD99" s="13">
        <f>$I$47*$BD$47</f>
        <v>0</v>
      </c>
    </row>
    <row r="100" spans="1:56" ht="11.25" customHeight="1" x14ac:dyDescent="0.3">
      <c r="A100" s="9" t="s">
        <v>31</v>
      </c>
      <c r="B100" s="9" t="s">
        <v>818</v>
      </c>
      <c r="C100" s="9" t="s">
        <v>819</v>
      </c>
      <c r="D100" s="9" t="s">
        <v>820</v>
      </c>
      <c r="E100" s="9" t="s">
        <v>821</v>
      </c>
      <c r="F100" s="9" t="s">
        <v>822</v>
      </c>
      <c r="G100" s="9" t="s">
        <v>823</v>
      </c>
      <c r="L100" s="13">
        <f>$I$48*$L$48</f>
        <v>0</v>
      </c>
      <c r="M100" s="13">
        <f>$I$48*$M$48</f>
        <v>255.26789789050898</v>
      </c>
      <c r="N100" s="13">
        <f ca="1">$I$48*$N$48</f>
        <v>0</v>
      </c>
      <c r="O100" s="13">
        <f>$I$48*$O$48</f>
        <v>0</v>
      </c>
      <c r="P100" s="13">
        <f>$I$48*$P$48</f>
        <v>0</v>
      </c>
      <c r="Q100" s="13">
        <f>$I$48*$Q$48</f>
        <v>27038.159261768174</v>
      </c>
      <c r="R100" s="13">
        <f>$I$48*$R$48</f>
        <v>4262.7073928759719</v>
      </c>
      <c r="S100" s="13">
        <f>$I$48*$S$48</f>
        <v>0</v>
      </c>
      <c r="T100" s="13">
        <f>$I$48*$T$48</f>
        <v>0</v>
      </c>
      <c r="U100" s="13">
        <f>$I$48*$U$48</f>
        <v>0</v>
      </c>
      <c r="V100" s="13">
        <f>$I$48*$V$48</f>
        <v>0</v>
      </c>
      <c r="W100" s="13">
        <f>$I$48*$W$48</f>
        <v>0</v>
      </c>
      <c r="X100" s="13">
        <f>$I$48*$X$48</f>
        <v>32600.972772104091</v>
      </c>
      <c r="Y100" s="13">
        <f>$I$48*$Y$48</f>
        <v>0</v>
      </c>
      <c r="Z100" s="13">
        <f>$I$48*$Z$48</f>
        <v>0</v>
      </c>
      <c r="AA100" s="13">
        <f>$I$48*$AA$48</f>
        <v>30179.874040585913</v>
      </c>
      <c r="AB100" s="13">
        <f ca="1">$I$48*$AB$48</f>
        <v>0</v>
      </c>
      <c r="AC100" s="13">
        <f ca="1">$I$48*$AC$48</f>
        <v>0</v>
      </c>
      <c r="AD100" s="13">
        <f>$I$48*$AD$48</f>
        <v>5833.2187388226757</v>
      </c>
      <c r="AE100" s="13">
        <f>$I$48*$AE$48</f>
        <v>0</v>
      </c>
      <c r="AF100" s="13">
        <f ca="1">$I$48*$AF$48</f>
        <v>0</v>
      </c>
      <c r="AG100" s="13">
        <f ca="1">$I$48*$AG$48</f>
        <v>0</v>
      </c>
      <c r="AI100" s="13">
        <f>$I$48*$AI$48</f>
        <v>0</v>
      </c>
      <c r="AJ100" s="13">
        <f>$I$48*$AJ$48</f>
        <v>320.59156013897723</v>
      </c>
      <c r="AK100" s="13">
        <f>$I$48*$AK$48</f>
        <v>0</v>
      </c>
      <c r="AL100" s="13">
        <f>$I$48*$AL$48</f>
        <v>0</v>
      </c>
      <c r="AM100" s="13">
        <f>$I$48*$AM$48</f>
        <v>0</v>
      </c>
      <c r="AN100" s="13">
        <f>$I$48*$AN$48</f>
        <v>22754.722009700497</v>
      </c>
      <c r="AO100" s="13">
        <f>$I$48*$AO$48</f>
        <v>3453.7495346094556</v>
      </c>
      <c r="AP100" s="13">
        <f>$I$48*$AP$48</f>
        <v>0</v>
      </c>
      <c r="AQ100" s="13">
        <f>$I$48*$AQ$48</f>
        <v>0</v>
      </c>
      <c r="AR100" s="13">
        <f>$I$48*$AR$48</f>
        <v>0</v>
      </c>
      <c r="AS100" s="13">
        <f>$I$48*$AS$48</f>
        <v>0</v>
      </c>
      <c r="AT100" s="13">
        <f>$I$48*$AT$48</f>
        <v>0</v>
      </c>
      <c r="AU100" s="13">
        <f>$I$48*$AU$48</f>
        <v>31730.737119770947</v>
      </c>
      <c r="AV100" s="13">
        <f>$I$48*$AV$48</f>
        <v>0</v>
      </c>
      <c r="AW100" s="13">
        <f>$I$48*$AW$48</f>
        <v>0</v>
      </c>
      <c r="AX100" s="13">
        <f>$I$48*$AX$48</f>
        <v>31100.586302754677</v>
      </c>
      <c r="AY100" s="13">
        <f>$I$48*$AY$48</f>
        <v>0</v>
      </c>
      <c r="AZ100" s="13">
        <f>$I$48*$AZ$48</f>
        <v>0</v>
      </c>
      <c r="BA100" s="13">
        <f>$I$48*$BA$48</f>
        <v>8325.3958351208603</v>
      </c>
      <c r="BB100" s="13">
        <f>$I$48*$BB$48</f>
        <v>0</v>
      </c>
      <c r="BC100" s="13">
        <f>$I$48*$BC$48</f>
        <v>0</v>
      </c>
      <c r="BD100" s="13">
        <f>$I$48*$BD$48</f>
        <v>0</v>
      </c>
    </row>
    <row r="101" spans="1:56" ht="11.25" customHeight="1" x14ac:dyDescent="0.3">
      <c r="A101" s="9" t="s">
        <v>31</v>
      </c>
      <c r="B101" s="9" t="s">
        <v>824</v>
      </c>
      <c r="C101" s="9" t="s">
        <v>825</v>
      </c>
      <c r="D101" s="9" t="s">
        <v>826</v>
      </c>
      <c r="E101" s="9" t="s">
        <v>827</v>
      </c>
      <c r="F101" s="9" t="s">
        <v>828</v>
      </c>
      <c r="G101" s="9" t="s">
        <v>829</v>
      </c>
      <c r="L101" s="13">
        <f>$I$49*$L$49</f>
        <v>0</v>
      </c>
      <c r="M101" s="13">
        <f>$I$49*$M$49</f>
        <v>0</v>
      </c>
      <c r="N101" s="13">
        <f ca="1">$I$49*$N$49</f>
        <v>0</v>
      </c>
      <c r="O101" s="13">
        <f>$I$49*$O$49</f>
        <v>0</v>
      </c>
      <c r="P101" s="13">
        <f>$I$49*$P$49</f>
        <v>0</v>
      </c>
      <c r="Q101" s="13">
        <f>$I$49*$Q$49</f>
        <v>0</v>
      </c>
      <c r="R101" s="13">
        <f>$I$49*$R$49</f>
        <v>0</v>
      </c>
      <c r="S101" s="13">
        <f>$I$49*$S$49</f>
        <v>0</v>
      </c>
      <c r="T101" s="13">
        <f>$I$49*$T$49</f>
        <v>0</v>
      </c>
      <c r="U101" s="13">
        <f>$I$49*$U$49</f>
        <v>0</v>
      </c>
      <c r="V101" s="13">
        <f>$I$49*$V$49</f>
        <v>0</v>
      </c>
      <c r="W101" s="13">
        <f>$I$49*$W$49</f>
        <v>0</v>
      </c>
      <c r="X101" s="13">
        <f>$I$49*$X$49</f>
        <v>0</v>
      </c>
      <c r="Y101" s="13">
        <f>$I$49*$Y$49</f>
        <v>0</v>
      </c>
      <c r="Z101" s="13">
        <f>$I$49*$Z$49</f>
        <v>0</v>
      </c>
      <c r="AA101" s="13">
        <f>$I$49*$AA$49</f>
        <v>0</v>
      </c>
      <c r="AB101" s="13">
        <f ca="1">$I$49*$AB$49</f>
        <v>0</v>
      </c>
      <c r="AC101" s="13">
        <f ca="1">$I$49*$AC$49</f>
        <v>0</v>
      </c>
      <c r="AD101" s="13">
        <f>$I$49*$AD$49</f>
        <v>0</v>
      </c>
      <c r="AE101" s="13">
        <f>$I$49*$AE$49</f>
        <v>0</v>
      </c>
      <c r="AF101" s="13">
        <f ca="1">$I$49*$AF$49</f>
        <v>0</v>
      </c>
      <c r="AG101" s="13">
        <f ca="1">$I$49*$AG$49</f>
        <v>0</v>
      </c>
      <c r="AI101" s="13">
        <f>$I$49*$AI$49</f>
        <v>0</v>
      </c>
      <c r="AJ101" s="13">
        <f>$I$49*$AJ$49</f>
        <v>0</v>
      </c>
      <c r="AK101" s="13">
        <f>$I$49*$AK$49</f>
        <v>0</v>
      </c>
      <c r="AL101" s="13">
        <f>$I$49*$AL$49</f>
        <v>0</v>
      </c>
      <c r="AM101" s="13">
        <f>$I$49*$AM$49</f>
        <v>0</v>
      </c>
      <c r="AN101" s="13">
        <f>$I$49*$AN$49</f>
        <v>0</v>
      </c>
      <c r="AO101" s="13">
        <f>$I$49*$AO$49</f>
        <v>0</v>
      </c>
      <c r="AP101" s="13">
        <f>$I$49*$AP$49</f>
        <v>0</v>
      </c>
      <c r="AQ101" s="13">
        <f>$I$49*$AQ$49</f>
        <v>0</v>
      </c>
      <c r="AR101" s="13">
        <f>$I$49*$AR$49</f>
        <v>0</v>
      </c>
      <c r="AS101" s="13">
        <f>$I$49*$AS$49</f>
        <v>0</v>
      </c>
      <c r="AT101" s="13">
        <f>$I$49*$AT$49</f>
        <v>0</v>
      </c>
      <c r="AU101" s="13">
        <f>$I$49*$AU$49</f>
        <v>0</v>
      </c>
      <c r="AV101" s="13">
        <f>$I$49*$AV$49</f>
        <v>0</v>
      </c>
      <c r="AW101" s="13">
        <f>$I$49*$AW$49</f>
        <v>0</v>
      </c>
      <c r="AX101" s="13">
        <f>$I$49*$AX$49</f>
        <v>0</v>
      </c>
      <c r="AY101" s="13">
        <f>$I$49*$AY$49</f>
        <v>0</v>
      </c>
      <c r="AZ101" s="13">
        <f>$I$49*$AZ$49</f>
        <v>0</v>
      </c>
      <c r="BA101" s="13">
        <f>$I$49*$BA$49</f>
        <v>0</v>
      </c>
      <c r="BB101" s="13">
        <f>$I$49*$BB$49</f>
        <v>0</v>
      </c>
      <c r="BC101" s="13">
        <f>$I$49*$BC$49</f>
        <v>0</v>
      </c>
      <c r="BD101" s="13">
        <f>$I$49*$BD$49</f>
        <v>0</v>
      </c>
    </row>
    <row r="102" spans="1:56" ht="11.25" customHeight="1" x14ac:dyDescent="0.3">
      <c r="A102" s="9" t="s">
        <v>43</v>
      </c>
      <c r="B102" s="9" t="s">
        <v>830</v>
      </c>
      <c r="C102" s="9" t="s">
        <v>831</v>
      </c>
      <c r="D102" s="9" t="s">
        <v>832</v>
      </c>
      <c r="E102" s="9" t="s">
        <v>833</v>
      </c>
      <c r="F102" s="9" t="s">
        <v>834</v>
      </c>
      <c r="G102" s="9" t="s">
        <v>835</v>
      </c>
      <c r="L102" s="13">
        <f>$I$50*$L$50</f>
        <v>0</v>
      </c>
      <c r="M102" s="13">
        <f>$I$50*$M$50</f>
        <v>108.95577523985831</v>
      </c>
      <c r="N102" s="13">
        <f ca="1">$I$50*$N$50</f>
        <v>0</v>
      </c>
      <c r="O102" s="13">
        <f>$I$50*$O$50</f>
        <v>0</v>
      </c>
      <c r="P102" s="13">
        <f>$I$50*$P$50</f>
        <v>0</v>
      </c>
      <c r="Q102" s="13">
        <f>$I$50*$Q$50</f>
        <v>11540.674043895277</v>
      </c>
      <c r="R102" s="13">
        <f>$I$50*$R$50</f>
        <v>1819.4476957329355</v>
      </c>
      <c r="S102" s="13">
        <f>$I$50*$S$50</f>
        <v>0</v>
      </c>
      <c r="T102" s="13">
        <f>$I$50*$T$50</f>
        <v>0</v>
      </c>
      <c r="U102" s="13">
        <f>$I$50*$U$50</f>
        <v>0</v>
      </c>
      <c r="V102" s="13">
        <f>$I$50*$V$50</f>
        <v>0</v>
      </c>
      <c r="W102" s="13">
        <f>$I$50*$W$50</f>
        <v>0</v>
      </c>
      <c r="X102" s="13">
        <f>$I$50*$X$50</f>
        <v>13915.044905026351</v>
      </c>
      <c r="Y102" s="13">
        <f>$I$50*$Y$50</f>
        <v>0</v>
      </c>
      <c r="Z102" s="13">
        <f>$I$50*$Z$50</f>
        <v>0</v>
      </c>
      <c r="AA102" s="13">
        <f>$I$50*$AA$50</f>
        <v>12881.649435385481</v>
      </c>
      <c r="AB102" s="13">
        <f ca="1">$I$50*$AB$50</f>
        <v>0</v>
      </c>
      <c r="AC102" s="13">
        <f ca="1">$I$50*$AC$50</f>
        <v>0</v>
      </c>
      <c r="AD102" s="13">
        <f>$I$50*$AD$50</f>
        <v>2489.7876900475067</v>
      </c>
      <c r="AE102" s="13">
        <f>$I$50*$AE$50</f>
        <v>0</v>
      </c>
      <c r="AF102" s="13">
        <f ca="1">$I$50*$AF$50</f>
        <v>0</v>
      </c>
      <c r="AG102" s="13">
        <f ca="1">$I$50*$AG$50</f>
        <v>0</v>
      </c>
      <c r="AI102" s="13">
        <f>$I$50*$AI$50</f>
        <v>0</v>
      </c>
      <c r="AJ102" s="13">
        <f>$I$50*$AJ$50</f>
        <v>136.83781728511914</v>
      </c>
      <c r="AK102" s="13">
        <f>$I$50*$AK$50</f>
        <v>0</v>
      </c>
      <c r="AL102" s="13">
        <f>$I$50*$AL$50</f>
        <v>0</v>
      </c>
      <c r="AM102" s="13">
        <f>$I$50*$AM$50</f>
        <v>0</v>
      </c>
      <c r="AN102" s="13">
        <f>$I$50*$AN$50</f>
        <v>9712.3782403606456</v>
      </c>
      <c r="AO102" s="13">
        <f>$I$50*$AO$50</f>
        <v>1474.1609154045752</v>
      </c>
      <c r="AP102" s="13">
        <f>$I$50*$AP$50</f>
        <v>0</v>
      </c>
      <c r="AQ102" s="13">
        <f>$I$50*$AQ$50</f>
        <v>0</v>
      </c>
      <c r="AR102" s="13">
        <f>$I$50*$AR$50</f>
        <v>0</v>
      </c>
      <c r="AS102" s="13">
        <f>$I$50*$AS$50</f>
        <v>0</v>
      </c>
      <c r="AT102" s="13">
        <f>$I$50*$AT$50</f>
        <v>0</v>
      </c>
      <c r="AU102" s="13">
        <f>$I$50*$AU$50</f>
        <v>13543.602977056269</v>
      </c>
      <c r="AV102" s="13">
        <f>$I$50*$AV$50</f>
        <v>0</v>
      </c>
      <c r="AW102" s="13">
        <f>$I$50*$AW$50</f>
        <v>0</v>
      </c>
      <c r="AX102" s="13">
        <f>$I$50*$AX$50</f>
        <v>13274.636250909269</v>
      </c>
      <c r="AY102" s="13">
        <f>$I$50*$AY$50</f>
        <v>0</v>
      </c>
      <c r="AZ102" s="13">
        <f>$I$50*$AZ$50</f>
        <v>0</v>
      </c>
      <c r="BA102" s="13">
        <f>$I$50*$BA$50</f>
        <v>3553.5214764190987</v>
      </c>
      <c r="BB102" s="13">
        <f>$I$50*$BB$50</f>
        <v>0</v>
      </c>
      <c r="BC102" s="13">
        <f>$I$50*$BC$50</f>
        <v>0</v>
      </c>
      <c r="BD102" s="13">
        <f>$I$50*$BD$50</f>
        <v>0</v>
      </c>
    </row>
    <row r="103" spans="1:56" ht="11.25" customHeight="1" x14ac:dyDescent="0.3">
      <c r="A103" s="9" t="s">
        <v>43</v>
      </c>
      <c r="B103" s="9" t="s">
        <v>830</v>
      </c>
      <c r="C103" s="9" t="s">
        <v>831</v>
      </c>
      <c r="D103" s="9" t="s">
        <v>836</v>
      </c>
      <c r="E103" s="9" t="s">
        <v>837</v>
      </c>
      <c r="F103" s="9" t="s">
        <v>838</v>
      </c>
      <c r="G103" s="9" t="s">
        <v>839</v>
      </c>
      <c r="L103" s="13">
        <f>$I$51*$L$51</f>
        <v>0</v>
      </c>
      <c r="M103" s="13">
        <f>$I$51*$M$51</f>
        <v>0</v>
      </c>
      <c r="N103" s="13">
        <f ca="1">$I$51*$N$51</f>
        <v>0</v>
      </c>
      <c r="O103" s="13">
        <f>$I$51*$O$51</f>
        <v>0</v>
      </c>
      <c r="P103" s="13">
        <f>$I$51*$P$51</f>
        <v>0</v>
      </c>
      <c r="Q103" s="13">
        <f>$I$51*$Q$51</f>
        <v>0</v>
      </c>
      <c r="R103" s="13">
        <f>$I$51*$R$51</f>
        <v>0</v>
      </c>
      <c r="S103" s="13">
        <f>$I$51*$S$51</f>
        <v>0</v>
      </c>
      <c r="T103" s="13">
        <f>$I$51*$T$51</f>
        <v>0</v>
      </c>
      <c r="U103" s="13">
        <f>$I$51*$U$51</f>
        <v>0</v>
      </c>
      <c r="V103" s="13">
        <f>$I$51*$V$51</f>
        <v>0</v>
      </c>
      <c r="W103" s="13">
        <f>$I$51*$W$51</f>
        <v>0</v>
      </c>
      <c r="X103" s="13">
        <f>$I$51*$X$51</f>
        <v>0</v>
      </c>
      <c r="Y103" s="13">
        <f>$I$51*$Y$51</f>
        <v>0</v>
      </c>
      <c r="Z103" s="13">
        <f>$I$51*$Z$51</f>
        <v>0</v>
      </c>
      <c r="AA103" s="13">
        <f>$I$51*$AA$51</f>
        <v>0</v>
      </c>
      <c r="AB103" s="13">
        <f ca="1">$I$51*$AB$51</f>
        <v>0</v>
      </c>
      <c r="AC103" s="13">
        <f ca="1">$I$51*$AC$51</f>
        <v>0</v>
      </c>
      <c r="AD103" s="13">
        <f>$I$51*$AD$51</f>
        <v>0</v>
      </c>
      <c r="AE103" s="13">
        <f>$I$51*$AE$51</f>
        <v>0</v>
      </c>
      <c r="AF103" s="13">
        <f ca="1">$I$51*$AF$51</f>
        <v>0</v>
      </c>
      <c r="AG103" s="13">
        <f ca="1">$I$51*$AG$51</f>
        <v>0</v>
      </c>
      <c r="AI103" s="13">
        <f>$I$51*$AI$51</f>
        <v>0</v>
      </c>
      <c r="AJ103" s="13">
        <f>$I$51*$AJ$51</f>
        <v>0</v>
      </c>
      <c r="AK103" s="13">
        <f>$I$51*$AK$51</f>
        <v>0</v>
      </c>
      <c r="AL103" s="13">
        <f>$I$51*$AL$51</f>
        <v>0</v>
      </c>
      <c r="AM103" s="13">
        <f>$I$51*$AM$51</f>
        <v>0</v>
      </c>
      <c r="AN103" s="13">
        <f>$I$51*$AN$51</f>
        <v>0</v>
      </c>
      <c r="AO103" s="13">
        <f>$I$51*$AO$51</f>
        <v>0</v>
      </c>
      <c r="AP103" s="13">
        <f>$I$51*$AP$51</f>
        <v>0</v>
      </c>
      <c r="AQ103" s="13">
        <f>$I$51*$AQ$51</f>
        <v>0</v>
      </c>
      <c r="AR103" s="13">
        <f>$I$51*$AR$51</f>
        <v>0</v>
      </c>
      <c r="AS103" s="13">
        <f>$I$51*$AS$51</f>
        <v>0</v>
      </c>
      <c r="AT103" s="13">
        <f>$I$51*$AT$51</f>
        <v>0</v>
      </c>
      <c r="AU103" s="13">
        <f>$I$51*$AU$51</f>
        <v>0</v>
      </c>
      <c r="AV103" s="13">
        <f>$I$51*$AV$51</f>
        <v>0</v>
      </c>
      <c r="AW103" s="13">
        <f>$I$51*$AW$51</f>
        <v>0</v>
      </c>
      <c r="AX103" s="13">
        <f>$I$51*$AX$51</f>
        <v>0</v>
      </c>
      <c r="AY103" s="13">
        <f>$I$51*$AY$51</f>
        <v>0</v>
      </c>
      <c r="AZ103" s="13">
        <f>$I$51*$AZ$51</f>
        <v>0</v>
      </c>
      <c r="BA103" s="13">
        <f>$I$51*$BA$51</f>
        <v>0</v>
      </c>
      <c r="BB103" s="13">
        <f>$I$51*$BB$51</f>
        <v>0</v>
      </c>
      <c r="BC103" s="13">
        <f>$I$51*$BC$51</f>
        <v>0</v>
      </c>
      <c r="BD103" s="13">
        <f>$I$51*$BD$51</f>
        <v>0</v>
      </c>
    </row>
  </sheetData>
  <mergeCells count="88">
    <mergeCell ref="AQ55:AW55"/>
    <mergeCell ref="AY55:AZ55"/>
    <mergeCell ref="BA55:BD55"/>
    <mergeCell ref="BA3:BD3"/>
    <mergeCell ref="L53:AG53"/>
    <mergeCell ref="AI53:BD53"/>
    <mergeCell ref="L54:AG54"/>
    <mergeCell ref="AI54:BD54"/>
    <mergeCell ref="L55:S55"/>
    <mergeCell ref="T55:Z55"/>
    <mergeCell ref="AB55:AC55"/>
    <mergeCell ref="AD55:AG55"/>
    <mergeCell ref="AI55:AP55"/>
    <mergeCell ref="AB3:AC3"/>
    <mergeCell ref="AD3:AG3"/>
    <mergeCell ref="E45:E47"/>
    <mergeCell ref="F45:F47"/>
    <mergeCell ref="A50:A51"/>
    <mergeCell ref="B50:B51"/>
    <mergeCell ref="C50:C51"/>
    <mergeCell ref="D45:D47"/>
    <mergeCell ref="AI1:BD1"/>
    <mergeCell ref="AI2:BD2"/>
    <mergeCell ref="AI3:AP3"/>
    <mergeCell ref="AQ3:AW3"/>
    <mergeCell ref="AY3:AZ3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5:A14"/>
    <mergeCell ref="B5:B8"/>
    <mergeCell ref="C5:C8"/>
    <mergeCell ref="D5:D8"/>
    <mergeCell ref="E5:E7"/>
    <mergeCell ref="C10:C14"/>
    <mergeCell ref="D10:D14"/>
    <mergeCell ref="E10:E12"/>
    <mergeCell ref="E13:E14"/>
    <mergeCell ref="F5:F7"/>
    <mergeCell ref="B10:B14"/>
    <mergeCell ref="G1:G4"/>
    <mergeCell ref="H1:H4"/>
    <mergeCell ref="I1:I4"/>
    <mergeCell ref="F1:F4"/>
    <mergeCell ref="F10:F12"/>
    <mergeCell ref="F13:F14"/>
    <mergeCell ref="J1:J4"/>
    <mergeCell ref="L1:AG1"/>
    <mergeCell ref="L2:AG2"/>
    <mergeCell ref="L3:S3"/>
    <mergeCell ref="T3:Z3"/>
    <mergeCell ref="A1:A4"/>
    <mergeCell ref="B1:B4"/>
    <mergeCell ref="C1:C4"/>
    <mergeCell ref="D1:D4"/>
    <mergeCell ref="E1:E4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555A-A2DE-4BE8-874C-75C750F43A3D}">
  <dimension ref="A1:AH83"/>
  <sheetViews>
    <sheetView showGridLines="0" topLeftCell="L27" workbookViewId="0">
      <selection activeCell="V42" sqref="V42"/>
    </sheetView>
  </sheetViews>
  <sheetFormatPr defaultRowHeight="11.25" customHeight="1" x14ac:dyDescent="0.3"/>
  <cols>
    <col min="1" max="1" width="9" style="9" bestFit="1" customWidth="1"/>
    <col min="2" max="2" width="26.5546875" style="9" bestFit="1" customWidth="1"/>
    <col min="3" max="3" width="35.5546875" style="9" bestFit="1" customWidth="1"/>
    <col min="4" max="4" width="56.77734375" style="9" bestFit="1" customWidth="1"/>
    <col min="5" max="5" width="65.77734375" style="9" bestFit="1" customWidth="1"/>
    <col min="6" max="6" width="74.88671875" style="9" bestFit="1" customWidth="1"/>
    <col min="7" max="7" width="75.88671875" style="9" bestFit="1" customWidth="1"/>
    <col min="8" max="9" width="7.109375" style="9" bestFit="1" customWidth="1"/>
    <col min="10" max="10" width="8.88671875" style="9"/>
    <col min="11" max="11" width="19.88671875" style="9" bestFit="1" customWidth="1"/>
    <col min="12" max="12" width="3.77734375" style="9" bestFit="1" customWidth="1"/>
    <col min="13" max="13" width="7.88671875" style="9" bestFit="1" customWidth="1"/>
    <col min="14" max="14" width="5.6640625" style="9" bestFit="1" customWidth="1"/>
    <col min="15" max="15" width="10.33203125" style="9" bestFit="1" customWidth="1"/>
    <col min="16" max="16" width="7.6640625" style="9" bestFit="1" customWidth="1"/>
    <col min="17" max="17" width="14.44140625" style="9" bestFit="1" customWidth="1"/>
    <col min="18" max="18" width="5.5546875" style="9" bestFit="1" customWidth="1"/>
    <col min="19" max="19" width="9.77734375" style="9" bestFit="1" customWidth="1"/>
    <col min="20" max="20" width="6.44140625" style="9" bestFit="1" customWidth="1"/>
    <col min="21" max="21" width="10.33203125" style="9" bestFit="1" customWidth="1"/>
    <col min="22" max="22" width="10.5546875" style="9" bestFit="1" customWidth="1"/>
    <col min="23" max="23" width="8.88671875" style="9"/>
    <col min="24" max="24" width="3.77734375" style="9" bestFit="1" customWidth="1"/>
    <col min="25" max="25" width="7.88671875" style="9" bestFit="1" customWidth="1"/>
    <col min="26" max="26" width="5.6640625" style="9" bestFit="1" customWidth="1"/>
    <col min="27" max="27" width="10.33203125" style="9" bestFit="1" customWidth="1"/>
    <col min="28" max="28" width="7.6640625" style="9" bestFit="1" customWidth="1"/>
    <col min="29" max="29" width="14.44140625" style="9" bestFit="1" customWidth="1"/>
    <col min="30" max="30" width="5.5546875" style="9" bestFit="1" customWidth="1"/>
    <col min="31" max="31" width="9.77734375" style="9" bestFit="1" customWidth="1"/>
    <col min="32" max="32" width="6.44140625" style="9" bestFit="1" customWidth="1"/>
    <col min="33" max="33" width="10.33203125" style="9" bestFit="1" customWidth="1"/>
    <col min="34" max="34" width="10.5546875" style="9" bestFit="1" customWidth="1"/>
    <col min="35" max="16384" width="8.88671875" style="9"/>
  </cols>
  <sheetData>
    <row r="1" spans="1:34" ht="11.25" customHeight="1" x14ac:dyDescent="0.3">
      <c r="A1" s="101" t="s">
        <v>58</v>
      </c>
      <c r="B1" s="101" t="s">
        <v>59</v>
      </c>
      <c r="C1" s="101" t="s">
        <v>60</v>
      </c>
      <c r="D1" s="101" t="s">
        <v>61</v>
      </c>
      <c r="E1" s="101" t="s">
        <v>62</v>
      </c>
      <c r="F1" s="101" t="s">
        <v>15</v>
      </c>
      <c r="G1" s="101" t="s">
        <v>64</v>
      </c>
      <c r="H1" s="101" t="s">
        <v>65</v>
      </c>
      <c r="I1" s="101" t="s">
        <v>468</v>
      </c>
      <c r="J1" s="80"/>
      <c r="L1" s="99" t="s">
        <v>840</v>
      </c>
      <c r="M1" s="99"/>
      <c r="N1" s="99"/>
      <c r="O1" s="99"/>
      <c r="P1" s="99"/>
      <c r="Q1" s="99"/>
      <c r="R1" s="99"/>
      <c r="S1" s="99"/>
      <c r="T1" s="99"/>
      <c r="U1" s="99"/>
      <c r="V1" s="99"/>
      <c r="X1" s="99" t="s">
        <v>841</v>
      </c>
      <c r="Y1" s="99"/>
      <c r="Z1" s="99"/>
      <c r="AA1" s="99"/>
      <c r="AB1" s="99"/>
      <c r="AC1" s="99"/>
      <c r="AD1" s="99"/>
      <c r="AE1" s="99"/>
      <c r="AF1" s="99"/>
      <c r="AG1" s="99"/>
      <c r="AH1" s="99"/>
    </row>
    <row r="2" spans="1:34" ht="11.2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80"/>
      <c r="L2" s="99" t="s">
        <v>395</v>
      </c>
      <c r="M2" s="99"/>
      <c r="N2" s="99"/>
      <c r="O2" s="99"/>
      <c r="P2" s="99"/>
      <c r="Q2" s="99"/>
      <c r="R2" s="99"/>
      <c r="S2" s="99"/>
      <c r="T2" s="99"/>
      <c r="U2" s="99"/>
      <c r="V2" s="99"/>
      <c r="X2" s="99" t="s">
        <v>395</v>
      </c>
      <c r="Y2" s="99"/>
      <c r="Z2" s="99"/>
      <c r="AA2" s="99"/>
      <c r="AB2" s="99"/>
      <c r="AC2" s="99"/>
      <c r="AD2" s="99"/>
      <c r="AE2" s="99"/>
      <c r="AF2" s="99"/>
      <c r="AG2" s="99"/>
      <c r="AH2" s="99"/>
    </row>
    <row r="3" spans="1:34" ht="11.25" customHeight="1" x14ac:dyDescent="0.3">
      <c r="A3" s="101"/>
      <c r="B3" s="101"/>
      <c r="C3" s="101"/>
      <c r="D3" s="101"/>
      <c r="E3" s="101"/>
      <c r="F3" s="101"/>
      <c r="G3" s="101"/>
      <c r="H3" s="101"/>
      <c r="I3" s="101"/>
      <c r="J3" s="80"/>
      <c r="L3" s="99" t="s">
        <v>368</v>
      </c>
      <c r="M3" s="99"/>
      <c r="N3" s="99"/>
      <c r="O3" s="99"/>
      <c r="P3" s="99"/>
      <c r="Q3" s="24" t="s">
        <v>399</v>
      </c>
      <c r="R3" s="99" t="s">
        <v>377</v>
      </c>
      <c r="S3" s="99"/>
      <c r="T3" s="99"/>
      <c r="U3" s="24" t="s">
        <v>387</v>
      </c>
      <c r="V3" s="24" t="s">
        <v>390</v>
      </c>
      <c r="X3" s="99" t="s">
        <v>368</v>
      </c>
      <c r="Y3" s="99"/>
      <c r="Z3" s="99"/>
      <c r="AA3" s="99"/>
      <c r="AB3" s="99"/>
      <c r="AC3" s="24" t="s">
        <v>399</v>
      </c>
      <c r="AD3" s="99" t="s">
        <v>377</v>
      </c>
      <c r="AE3" s="99"/>
      <c r="AF3" s="99"/>
      <c r="AG3" s="24" t="s">
        <v>387</v>
      </c>
      <c r="AH3" s="24" t="s">
        <v>390</v>
      </c>
    </row>
    <row r="4" spans="1:34" ht="11.25" customHeight="1" x14ac:dyDescent="0.3">
      <c r="A4" s="101"/>
      <c r="B4" s="101"/>
      <c r="C4" s="101"/>
      <c r="D4" s="101"/>
      <c r="E4" s="101"/>
      <c r="F4" s="101"/>
      <c r="G4" s="101"/>
      <c r="H4" s="101"/>
      <c r="I4" s="101"/>
      <c r="J4" s="80"/>
      <c r="L4" s="24" t="s">
        <v>370</v>
      </c>
      <c r="M4" s="24" t="s">
        <v>396</v>
      </c>
      <c r="N4" s="24" t="s">
        <v>397</v>
      </c>
      <c r="O4" s="24" t="s">
        <v>456</v>
      </c>
      <c r="P4" s="24" t="s">
        <v>398</v>
      </c>
      <c r="Q4" s="24" t="s">
        <v>400</v>
      </c>
      <c r="R4" s="24" t="s">
        <v>401</v>
      </c>
      <c r="S4" s="24" t="s">
        <v>402</v>
      </c>
      <c r="T4" s="24" t="s">
        <v>403</v>
      </c>
      <c r="U4" s="24" t="s">
        <v>388</v>
      </c>
      <c r="V4" s="24" t="s">
        <v>404</v>
      </c>
      <c r="X4" s="24" t="s">
        <v>370</v>
      </c>
      <c r="Y4" s="24" t="s">
        <v>396</v>
      </c>
      <c r="Z4" s="24" t="s">
        <v>397</v>
      </c>
      <c r="AA4" s="24" t="s">
        <v>456</v>
      </c>
      <c r="AB4" s="24" t="s">
        <v>398</v>
      </c>
      <c r="AC4" s="24" t="s">
        <v>400</v>
      </c>
      <c r="AD4" s="24" t="s">
        <v>401</v>
      </c>
      <c r="AE4" s="24" t="s">
        <v>402</v>
      </c>
      <c r="AF4" s="24" t="s">
        <v>403</v>
      </c>
      <c r="AG4" s="24" t="s">
        <v>388</v>
      </c>
      <c r="AH4" s="24" t="s">
        <v>404</v>
      </c>
    </row>
    <row r="5" spans="1:34" ht="11.25" customHeight="1" x14ac:dyDescent="0.3">
      <c r="A5" s="102" t="s">
        <v>33</v>
      </c>
      <c r="B5" s="102" t="s">
        <v>67</v>
      </c>
      <c r="C5" s="102" t="s">
        <v>25</v>
      </c>
      <c r="D5" s="102" t="s">
        <v>25</v>
      </c>
      <c r="E5" s="102" t="s">
        <v>25</v>
      </c>
      <c r="F5" s="102" t="s">
        <v>25</v>
      </c>
      <c r="G5" s="23" t="s">
        <v>69</v>
      </c>
      <c r="H5" s="23" t="s">
        <v>68</v>
      </c>
      <c r="I5" s="23">
        <f>'MERCADO TE'!$U$2</f>
        <v>917.56700000000001</v>
      </c>
      <c r="J5" s="15"/>
      <c r="L5" s="20">
        <f>('TE BE'!$L$5+'TE BF'!$L$5+'TE CVA'!$L$5)*1</f>
        <v>0</v>
      </c>
      <c r="M5" s="20">
        <f>('TE BE'!$M$5+'TE BF'!$M$5+'TE CVA'!$M$5)*1</f>
        <v>15.999596213872602</v>
      </c>
      <c r="N5" s="20">
        <f>('TE BE'!$N$5+'TE BF'!$N$5+'TE CVA'!$N$5)*1</f>
        <v>0</v>
      </c>
      <c r="O5" s="20">
        <f>('TE BE'!$O$5+'TE BF'!$O$5+'TE CVA'!$O$5)*1</f>
        <v>0</v>
      </c>
      <c r="P5" s="20">
        <f>('TE BE'!$P$5+'TE BF'!$P$5+'TE CVA'!$P$5)*1</f>
        <v>0</v>
      </c>
      <c r="Q5" s="20">
        <f>('TE BE'!$R$5+'TE BF'!$R$5+'TE CVA'!$R$5)*1</f>
        <v>205.79250926283049</v>
      </c>
      <c r="R5" s="20">
        <f>('TE BE'!$T$5+'TE BF'!$T$5+'TE CVA'!$T$5)*1</f>
        <v>0</v>
      </c>
      <c r="S5" s="20">
        <f>('TE BE'!$U$5+'TE BF'!$U$5+'TE CVA'!$U$5)*1</f>
        <v>0</v>
      </c>
      <c r="T5" s="20">
        <f>('TE BE'!$V$5+'TE BF'!$V$5+'TE CVA'!$V$5)*1</f>
        <v>0</v>
      </c>
      <c r="U5" s="20">
        <f>('TE BE'!$X$5+'TE BF'!$X$5+'TE CVA'!$X$5)*1</f>
        <v>0</v>
      </c>
      <c r="V5" s="20">
        <f>('TE BE'!$Z$5+'TE BF'!$Z$5+'TE CVA'!$Z$5)*1</f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310.49930175958701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</row>
    <row r="6" spans="1:34" ht="11.25" customHeight="1" x14ac:dyDescent="0.3">
      <c r="A6" s="102"/>
      <c r="B6" s="102"/>
      <c r="C6" s="102"/>
      <c r="D6" s="102"/>
      <c r="E6" s="102"/>
      <c r="F6" s="102"/>
      <c r="G6" s="23" t="s">
        <v>70</v>
      </c>
      <c r="H6" s="23" t="s">
        <v>68</v>
      </c>
      <c r="I6" s="23">
        <f>'MERCADO TE'!$U$3</f>
        <v>10340.044</v>
      </c>
      <c r="J6" s="15"/>
      <c r="L6" s="20">
        <f>('TE BE'!$L$6+'TE BF'!$L$6+'TE CVA'!$L$6)*1</f>
        <v>0</v>
      </c>
      <c r="M6" s="20">
        <f>('TE BE'!$M$6+'TE BF'!$M$6+'TE CVA'!$M$6)*1</f>
        <v>15.999596213872602</v>
      </c>
      <c r="N6" s="20">
        <f>('TE BE'!$N$6+'TE BF'!$N$6+'TE CVA'!$N$6)*1</f>
        <v>0</v>
      </c>
      <c r="O6" s="20">
        <f>('TE BE'!$O$6+'TE BF'!$O$6+'TE CVA'!$O$6)*1</f>
        <v>0</v>
      </c>
      <c r="P6" s="20">
        <f>('TE BE'!$P$6+'TE BF'!$P$6+'TE CVA'!$P$6)*1</f>
        <v>0</v>
      </c>
      <c r="Q6" s="20">
        <f>('TE BE'!$R$6+'TE BF'!$R$6+'TE CVA'!$R$6)*1</f>
        <v>205.79250926283049</v>
      </c>
      <c r="R6" s="20">
        <f>('TE BE'!$T$6+'TE BF'!$T$6+'TE CVA'!$T$6)*1</f>
        <v>0</v>
      </c>
      <c r="S6" s="20">
        <f>('TE BE'!$U$6+'TE BF'!$U$6+'TE CVA'!$U$6)*1</f>
        <v>0</v>
      </c>
      <c r="T6" s="20">
        <f>('TE BE'!$V$6+'TE BF'!$V$6+'TE CVA'!$V$6)*1</f>
        <v>0</v>
      </c>
      <c r="U6" s="20">
        <f>('TE BE'!$X$6+'TE BF'!$X$6+'TE CVA'!$X$6)*1</f>
        <v>0</v>
      </c>
      <c r="V6" s="20">
        <f>('TE BE'!$Z$6+'TE BF'!$Z$6+'TE CVA'!$Z$6)*1</f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310.49930175958701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</row>
    <row r="7" spans="1:34" ht="11.25" customHeight="1" x14ac:dyDescent="0.3">
      <c r="A7" s="102" t="s">
        <v>22</v>
      </c>
      <c r="B7" s="102" t="s">
        <v>67</v>
      </c>
      <c r="C7" s="102" t="s">
        <v>24</v>
      </c>
      <c r="D7" s="102" t="s">
        <v>24</v>
      </c>
      <c r="E7" s="102" t="s">
        <v>25</v>
      </c>
      <c r="F7" s="102" t="s">
        <v>25</v>
      </c>
      <c r="G7" s="23" t="s">
        <v>69</v>
      </c>
      <c r="H7" s="23" t="s">
        <v>68</v>
      </c>
      <c r="I7" s="23">
        <f>'MERCADO TE'!$U$4</f>
        <v>0</v>
      </c>
      <c r="J7" s="15"/>
      <c r="L7" s="20">
        <f>('TE BE'!$L$7+'TE BF'!$L$7+'TE CVA'!$L$7)*1</f>
        <v>0</v>
      </c>
      <c r="M7" s="20">
        <f>('TE BE'!$M$7+'TE BF'!$M$7+'TE CVA'!$M$7)*1</f>
        <v>15.999596213872602</v>
      </c>
      <c r="N7" s="20">
        <f>('TE BE'!$N$7+'TE BF'!$N$7+'TE CVA'!$N$7)*1</f>
        <v>0</v>
      </c>
      <c r="O7" s="20">
        <f>('TE BE'!$O$7+'TE BF'!$O$7+'TE CVA'!$O$7)*1</f>
        <v>0</v>
      </c>
      <c r="P7" s="20">
        <f>('TE BE'!$P$7+'TE BF'!$P$7+'TE CVA'!$P$7)*1</f>
        <v>0</v>
      </c>
      <c r="Q7" s="20">
        <f>('TE BE'!$R$7+'TE BF'!$R$7+'TE CVA'!$R$7)*1</f>
        <v>205.79250926283049</v>
      </c>
      <c r="R7" s="20">
        <f>('TE BE'!$T$7+'TE BF'!$T$7+'TE CVA'!$T$7)*1</f>
        <v>0</v>
      </c>
      <c r="S7" s="20">
        <f>('TE BE'!$U$7+'TE BF'!$U$7+'TE CVA'!$U$7)*1</f>
        <v>0</v>
      </c>
      <c r="T7" s="20">
        <f>('TE BE'!$V$7+'TE BF'!$V$7+'TE CVA'!$V$7)*1</f>
        <v>0</v>
      </c>
      <c r="U7" s="20">
        <f>('TE BE'!$X$7+'TE BF'!$X$7+'TE CVA'!$X$7)*1</f>
        <v>0</v>
      </c>
      <c r="V7" s="20">
        <f>('TE BE'!$Z$7+'TE BF'!$Z$7+'TE CVA'!$Z$7)*1</f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310.49930175958701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</row>
    <row r="8" spans="1:34" ht="11.25" customHeight="1" x14ac:dyDescent="0.3">
      <c r="A8" s="102"/>
      <c r="B8" s="102"/>
      <c r="C8" s="102"/>
      <c r="D8" s="102"/>
      <c r="E8" s="102"/>
      <c r="F8" s="102"/>
      <c r="G8" s="23" t="s">
        <v>80</v>
      </c>
      <c r="H8" s="23" t="s">
        <v>68</v>
      </c>
      <c r="I8" s="23">
        <f>'MERCADO TE'!$U$5</f>
        <v>0</v>
      </c>
      <c r="J8" s="15"/>
      <c r="L8" s="20">
        <f>('TE BE'!$L$8+'TE BF'!$L$8+'TE CVA'!$L$8)*1</f>
        <v>0</v>
      </c>
      <c r="M8" s="20">
        <f>('TE BE'!$M$8+'TE BF'!$M$8+'TE CVA'!$M$8)*1</f>
        <v>15.999596213872602</v>
      </c>
      <c r="N8" s="20">
        <f>('TE BE'!$N$8+'TE BF'!$N$8+'TE CVA'!$N$8)*1</f>
        <v>0</v>
      </c>
      <c r="O8" s="20">
        <f>('TE BE'!$O$8+'TE BF'!$O$8+'TE CVA'!$O$8)*1</f>
        <v>0</v>
      </c>
      <c r="P8" s="20">
        <f>('TE BE'!$P$8+'TE BF'!$P$8+'TE CVA'!$P$8)*1</f>
        <v>0</v>
      </c>
      <c r="Q8" s="20">
        <f>('TE BE'!$R$8+'TE BF'!$R$8+'TE CVA'!$R$8)*1</f>
        <v>205.79250926283049</v>
      </c>
      <c r="R8" s="20">
        <f>('TE BE'!$T$8+'TE BF'!$T$8+'TE CVA'!$T$8)*1</f>
        <v>0</v>
      </c>
      <c r="S8" s="20">
        <f>('TE BE'!$U$8+'TE BF'!$U$8+'TE CVA'!$U$8)*1</f>
        <v>0</v>
      </c>
      <c r="T8" s="20">
        <f>('TE BE'!$V$8+'TE BF'!$V$8+'TE CVA'!$V$8)*1</f>
        <v>0</v>
      </c>
      <c r="U8" s="20">
        <f>('TE BE'!$X$8+'TE BF'!$X$8+'TE CVA'!$X$8)*1</f>
        <v>0</v>
      </c>
      <c r="V8" s="20">
        <f>('TE BE'!$Z$8+'TE BF'!$Z$8+'TE CVA'!$Z$8)*1</f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310.49930175958701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</row>
    <row r="9" spans="1:34" ht="11.25" customHeight="1" x14ac:dyDescent="0.3">
      <c r="A9" s="102"/>
      <c r="B9" s="102"/>
      <c r="C9" s="102"/>
      <c r="D9" s="102"/>
      <c r="E9" s="102"/>
      <c r="F9" s="102"/>
      <c r="G9" s="23" t="s">
        <v>70</v>
      </c>
      <c r="H9" s="23" t="s">
        <v>68</v>
      </c>
      <c r="I9" s="23">
        <f>'MERCADO TE'!$U$6</f>
        <v>0</v>
      </c>
      <c r="J9" s="15"/>
      <c r="L9" s="20">
        <f>('TE BE'!$L$9+'TE BF'!$L$9+'TE CVA'!$L$9)*1</f>
        <v>0</v>
      </c>
      <c r="M9" s="20">
        <f>('TE BE'!$M$9+'TE BF'!$M$9+'TE CVA'!$M$9)*1</f>
        <v>15.999596213872602</v>
      </c>
      <c r="N9" s="20">
        <f>('TE BE'!$N$9+'TE BF'!$N$9+'TE CVA'!$N$9)*1</f>
        <v>0</v>
      </c>
      <c r="O9" s="20">
        <f>('TE BE'!$O$9+'TE BF'!$O$9+'TE CVA'!$O$9)*1</f>
        <v>0</v>
      </c>
      <c r="P9" s="20">
        <f>('TE BE'!$P$9+'TE BF'!$P$9+'TE CVA'!$P$9)*1</f>
        <v>0</v>
      </c>
      <c r="Q9" s="20">
        <f>('TE BE'!$R$9+'TE BF'!$R$9+'TE CVA'!$R$9)*1</f>
        <v>205.79250926283049</v>
      </c>
      <c r="R9" s="20">
        <f>('TE BE'!$T$9+'TE BF'!$T$9+'TE CVA'!$T$9)*1</f>
        <v>0</v>
      </c>
      <c r="S9" s="20">
        <f>('TE BE'!$U$9+'TE BF'!$U$9+'TE CVA'!$U$9)*1</f>
        <v>0</v>
      </c>
      <c r="T9" s="20">
        <f>('TE BE'!$V$9+'TE BF'!$V$9+'TE CVA'!$V$9)*1</f>
        <v>0</v>
      </c>
      <c r="U9" s="20">
        <f>('TE BE'!$X$9+'TE BF'!$X$9+'TE CVA'!$X$9)*1</f>
        <v>0</v>
      </c>
      <c r="V9" s="20">
        <f>('TE BE'!$Z$9+'TE BF'!$Z$9+'TE CVA'!$Z$9)*1</f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310.49930175958701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</row>
    <row r="10" spans="1:34" ht="11.25" customHeight="1" x14ac:dyDescent="0.3">
      <c r="A10" s="102"/>
      <c r="B10" s="102" t="s">
        <v>81</v>
      </c>
      <c r="C10" s="102" t="s">
        <v>24</v>
      </c>
      <c r="D10" s="22" t="s">
        <v>24</v>
      </c>
      <c r="E10" s="22" t="s">
        <v>25</v>
      </c>
      <c r="F10" s="22" t="s">
        <v>25</v>
      </c>
      <c r="G10" s="23" t="s">
        <v>74</v>
      </c>
      <c r="H10" s="23" t="s">
        <v>68</v>
      </c>
      <c r="I10" s="23">
        <f>'MERCADO TE'!$U$7</f>
        <v>434.28799999999995</v>
      </c>
      <c r="J10" s="15"/>
      <c r="L10" s="20">
        <f>('TE BE'!$L$10+'TE BF'!$L$10+'TE CVA'!$L$10)*1</f>
        <v>0</v>
      </c>
      <c r="M10" s="20">
        <f>('TE BE'!$M$10+'TE BF'!$M$10+'TE CVA'!$M$10)*1</f>
        <v>15.999596213872602</v>
      </c>
      <c r="N10" s="20">
        <f>('TE BE'!$N$10+'TE BF'!$N$10+'TE CVA'!$N$10)*1</f>
        <v>0</v>
      </c>
      <c r="O10" s="20">
        <f>('TE BE'!$O$10+'TE BF'!$O$10+'TE CVA'!$O$10)*1</f>
        <v>0</v>
      </c>
      <c r="P10" s="20">
        <f>('TE BE'!$P$10+'TE BF'!$P$10+'TE CVA'!$P$10)*1</f>
        <v>0</v>
      </c>
      <c r="Q10" s="20">
        <f>('TE BE'!$R$10+'TE BF'!$R$10+'TE CVA'!$R$10)*1</f>
        <v>205.79250926283049</v>
      </c>
      <c r="R10" s="20">
        <f>('TE BE'!$T$10+'TE BF'!$T$10+'TE CVA'!$T$10)*1</f>
        <v>0</v>
      </c>
      <c r="S10" s="20">
        <f>('TE BE'!$U$10+'TE BF'!$U$10+'TE CVA'!$U$10)*1</f>
        <v>0</v>
      </c>
      <c r="T10" s="20">
        <f>('TE BE'!$V$10+'TE BF'!$V$10+'TE CVA'!$V$10)*1</f>
        <v>0</v>
      </c>
      <c r="U10" s="20">
        <f>('TE BE'!$X$10+'TE BF'!$X$10+'TE CVA'!$X$10)*1</f>
        <v>0</v>
      </c>
      <c r="V10" s="20">
        <f>('TE BE'!$Z$10+'TE BF'!$Z$10+'TE CVA'!$Z$10)*1</f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310.49930175958701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</row>
    <row r="11" spans="1:34" ht="11.25" customHeight="1" x14ac:dyDescent="0.3">
      <c r="A11" s="102"/>
      <c r="B11" s="102"/>
      <c r="C11" s="102"/>
      <c r="D11" s="22" t="s">
        <v>27</v>
      </c>
      <c r="E11" s="22" t="s">
        <v>25</v>
      </c>
      <c r="F11" s="22" t="s">
        <v>25</v>
      </c>
      <c r="G11" s="23" t="s">
        <v>74</v>
      </c>
      <c r="H11" s="23" t="s">
        <v>68</v>
      </c>
      <c r="I11" s="23">
        <f>'MERCADO TE'!$U$8</f>
        <v>2.37</v>
      </c>
      <c r="J11" s="15"/>
      <c r="L11" s="20">
        <f>('TE BE'!$L$11+'TE BF'!$L$11+'TE CVA'!$L$11)*(1 - 0.65)</f>
        <v>0</v>
      </c>
      <c r="M11" s="20">
        <f>('TE BE'!$M$11+'TE BF'!$M$11+'TE CVA'!$M$11)*(1 - 0.65)</f>
        <v>5.59985867485541</v>
      </c>
      <c r="N11" s="20">
        <f>('TE BE'!$N$11+'TE BF'!$N$11+'TE CVA'!$N$11)*(1 - 0.65)</f>
        <v>0</v>
      </c>
      <c r="O11" s="20">
        <f>('TE BE'!$O$11+'TE BF'!$O$11+'TE CVA'!$O$11)*(1 - 0.65)</f>
        <v>0</v>
      </c>
      <c r="P11" s="20">
        <f>('TE BE'!$P$11+'TE BF'!$P$11+'TE CVA'!$P$11)*(1 - 0.65)</f>
        <v>0</v>
      </c>
      <c r="Q11" s="20">
        <f>('TE BE'!$R$11+'TE BF'!$R$11+'TE CVA'!$R$11)*(1 - 0.65)</f>
        <v>72.027378241990661</v>
      </c>
      <c r="R11" s="20">
        <f>('TE BE'!$T$11+'TE BF'!$T$11+'TE CVA'!$T$11)*(1 - 0.65)</f>
        <v>0</v>
      </c>
      <c r="S11" s="20">
        <f>('TE BE'!$U$11+'TE BF'!$U$11+'TE CVA'!$U$11)*(1 - 0.65)</f>
        <v>0</v>
      </c>
      <c r="T11" s="20">
        <f>('TE BE'!$V$11+'TE BF'!$V$11+'TE CVA'!$V$11)*(1 - 0.65)</f>
        <v>0</v>
      </c>
      <c r="U11" s="20">
        <f>('TE BE'!$X$11+'TE BF'!$X$11+'TE CVA'!$X$11)*(1 - 0.65)</f>
        <v>0</v>
      </c>
      <c r="V11" s="20">
        <f>('TE BE'!$Z$11+'TE BF'!$Z$11+'TE CVA'!$Z$11)*(1 - 0.65)</f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108.67475561585501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</row>
    <row r="12" spans="1:34" ht="11.25" customHeight="1" x14ac:dyDescent="0.3">
      <c r="A12" s="102"/>
      <c r="B12" s="102"/>
      <c r="C12" s="102"/>
      <c r="D12" s="22" t="s">
        <v>28</v>
      </c>
      <c r="E12" s="22" t="s">
        <v>25</v>
      </c>
      <c r="F12" s="22" t="s">
        <v>25</v>
      </c>
      <c r="G12" s="23" t="s">
        <v>74</v>
      </c>
      <c r="H12" s="23" t="s">
        <v>68</v>
      </c>
      <c r="I12" s="23">
        <f>'MERCADO TE'!$U$9</f>
        <v>4.327</v>
      </c>
      <c r="J12" s="15"/>
      <c r="L12" s="20">
        <f>('TE BE'!$L$12+'TE BF'!$L$12+'TE CVA'!$L$12)*(1 - 0.4)</f>
        <v>0</v>
      </c>
      <c r="M12" s="20">
        <f>('TE BE'!$M$12+'TE BF'!$M$12+'TE CVA'!$M$12)*(1 - 0.4)</f>
        <v>9.59975772832356</v>
      </c>
      <c r="N12" s="20">
        <f>('TE BE'!$N$12+'TE BF'!$N$12+'TE CVA'!$N$12)*(1 - 0.4)</f>
        <v>0</v>
      </c>
      <c r="O12" s="20">
        <f>('TE BE'!$O$12+'TE BF'!$O$12+'TE CVA'!$O$12)*(1 - 0.4)</f>
        <v>0</v>
      </c>
      <c r="P12" s="20">
        <f>('TE BE'!$P$12+'TE BF'!$P$12+'TE CVA'!$P$12)*(1 - 0.4)</f>
        <v>0</v>
      </c>
      <c r="Q12" s="20">
        <f>('TE BE'!$R$12+'TE BF'!$R$12+'TE CVA'!$R$12)*(1 - 0.4)</f>
        <v>123.47550555769828</v>
      </c>
      <c r="R12" s="20">
        <f>('TE BE'!$T$12+'TE BF'!$T$12+'TE CVA'!$T$12)*(1 - 0.4)</f>
        <v>0</v>
      </c>
      <c r="S12" s="20">
        <f>('TE BE'!$U$12+'TE BF'!$U$12+'TE CVA'!$U$12)*(1 - 0.4)</f>
        <v>0</v>
      </c>
      <c r="T12" s="20">
        <f>('TE BE'!$V$12+'TE BF'!$V$12+'TE CVA'!$V$12)*(1 - 0.4)</f>
        <v>0</v>
      </c>
      <c r="U12" s="20">
        <f>('TE BE'!$X$12+'TE BF'!$X$12+'TE CVA'!$X$12)*(1 - 0.4)</f>
        <v>0</v>
      </c>
      <c r="V12" s="20">
        <f>('TE BE'!$Z$12+'TE BF'!$Z$12+'TE CVA'!$Z$12)*(1 - 0.4)</f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186.29958105575199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</row>
    <row r="13" spans="1:34" ht="11.25" customHeight="1" x14ac:dyDescent="0.3">
      <c r="A13" s="102"/>
      <c r="B13" s="102"/>
      <c r="C13" s="102"/>
      <c r="D13" s="22" t="s">
        <v>29</v>
      </c>
      <c r="E13" s="22" t="s">
        <v>25</v>
      </c>
      <c r="F13" s="22" t="s">
        <v>25</v>
      </c>
      <c r="G13" s="23" t="s">
        <v>74</v>
      </c>
      <c r="H13" s="23" t="s">
        <v>68</v>
      </c>
      <c r="I13" s="23">
        <f>'MERCADO TE'!$U$10</f>
        <v>5.7929999999999993</v>
      </c>
      <c r="J13" s="15"/>
      <c r="L13" s="20">
        <f>('TE BE'!$L$13+'TE BF'!$L$13+'TE CVA'!$L$13)*(1 - 0.1)</f>
        <v>0</v>
      </c>
      <c r="M13" s="20">
        <f>('TE BE'!$M$13+'TE BF'!$M$13+'TE CVA'!$M$13)*(1 - 0.1)</f>
        <v>14.399636592485342</v>
      </c>
      <c r="N13" s="20">
        <f>('TE BE'!$N$13+'TE BF'!$N$13+'TE CVA'!$N$13)*(1 - 0.1)</f>
        <v>0</v>
      </c>
      <c r="O13" s="20">
        <f>('TE BE'!$O$13+'TE BF'!$O$13+'TE CVA'!$O$13)*(1 - 0.1)</f>
        <v>0</v>
      </c>
      <c r="P13" s="20">
        <f>('TE BE'!$P$13+'TE BF'!$P$13+'TE CVA'!$P$13)*(1 - 0.1)</f>
        <v>0</v>
      </c>
      <c r="Q13" s="20">
        <f>('TE BE'!$R$13+'TE BF'!$R$13+'TE CVA'!$R$13)*(1 - 0.1)</f>
        <v>185.21325833654745</v>
      </c>
      <c r="R13" s="20">
        <f>('TE BE'!$T$13+'TE BF'!$T$13+'TE CVA'!$T$13)*(1 - 0.1)</f>
        <v>0</v>
      </c>
      <c r="S13" s="20">
        <f>('TE BE'!$U$13+'TE BF'!$U$13+'TE CVA'!$U$13)*(1 - 0.1)</f>
        <v>0</v>
      </c>
      <c r="T13" s="20">
        <f>('TE BE'!$V$13+'TE BF'!$V$13+'TE CVA'!$V$13)*(1 - 0.1)</f>
        <v>0</v>
      </c>
      <c r="U13" s="20">
        <f>('TE BE'!$X$13+'TE BF'!$X$13+'TE CVA'!$X$13)*(1 - 0.1)</f>
        <v>0</v>
      </c>
      <c r="V13" s="20">
        <f>('TE BE'!$Z$13+'TE BF'!$Z$13+'TE CVA'!$Z$13)*(1 - 0.1)</f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279.44937158362802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</row>
    <row r="14" spans="1:34" ht="11.25" customHeight="1" x14ac:dyDescent="0.3">
      <c r="A14" s="102"/>
      <c r="B14" s="102"/>
      <c r="C14" s="102"/>
      <c r="D14" s="22" t="s">
        <v>30</v>
      </c>
      <c r="E14" s="22" t="s">
        <v>25</v>
      </c>
      <c r="F14" s="22" t="s">
        <v>25</v>
      </c>
      <c r="G14" s="23" t="s">
        <v>74</v>
      </c>
      <c r="H14" s="23" t="s">
        <v>68</v>
      </c>
      <c r="I14" s="23">
        <f>'MERCADO TE'!$U$11</f>
        <v>2.0990000000000002</v>
      </c>
      <c r="J14" s="15"/>
      <c r="L14" s="20">
        <f>('TE BE'!$L$14+'TE BF'!$L$14+'TE CVA'!$L$14)*1</f>
        <v>0</v>
      </c>
      <c r="M14" s="20">
        <f>('TE BE'!$M$14+'TE BF'!$M$14+'TE CVA'!$M$14)*1</f>
        <v>15.999596213872602</v>
      </c>
      <c r="N14" s="20">
        <f>('TE BE'!$N$14+'TE BF'!$N$14+'TE CVA'!$N$14)*1</f>
        <v>0</v>
      </c>
      <c r="O14" s="20">
        <f>('TE BE'!$O$14+'TE BF'!$O$14+'TE CVA'!$O$14)*1</f>
        <v>0</v>
      </c>
      <c r="P14" s="20">
        <f>('TE BE'!$P$14+'TE BF'!$P$14+'TE CVA'!$P$14)*1</f>
        <v>0</v>
      </c>
      <c r="Q14" s="20">
        <f>('TE BE'!$R$14+'TE BF'!$R$14+'TE CVA'!$R$14)*1</f>
        <v>205.79250926283049</v>
      </c>
      <c r="R14" s="20">
        <f>('TE BE'!$T$14+'TE BF'!$T$14+'TE CVA'!$T$14)*1</f>
        <v>0</v>
      </c>
      <c r="S14" s="20">
        <f>('TE BE'!$U$14+'TE BF'!$U$14+'TE CVA'!$U$14)*1</f>
        <v>0</v>
      </c>
      <c r="T14" s="20">
        <f>('TE BE'!$V$14+'TE BF'!$V$14+'TE CVA'!$V$14)*1</f>
        <v>0</v>
      </c>
      <c r="U14" s="20">
        <f>('TE BE'!$X$14+'TE BF'!$X$14+'TE CVA'!$X$14)*1</f>
        <v>0</v>
      </c>
      <c r="V14" s="20">
        <f>('TE BE'!$Z$14+'TE BF'!$Z$14+'TE CVA'!$Z$14)*1</f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310.49930175958701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</row>
    <row r="15" spans="1:34" ht="11.25" customHeight="1" x14ac:dyDescent="0.3">
      <c r="A15" s="102"/>
      <c r="B15" s="102" t="s">
        <v>83</v>
      </c>
      <c r="C15" s="102" t="s">
        <v>24</v>
      </c>
      <c r="D15" s="22" t="s">
        <v>24</v>
      </c>
      <c r="E15" s="22" t="s">
        <v>25</v>
      </c>
      <c r="F15" s="22" t="s">
        <v>25</v>
      </c>
      <c r="G15" s="23" t="s">
        <v>74</v>
      </c>
      <c r="H15" s="23" t="s">
        <v>68</v>
      </c>
      <c r="I15" s="23">
        <f>'MERCADO TE'!$U$12</f>
        <v>0</v>
      </c>
      <c r="J15" s="15"/>
      <c r="L15" s="20">
        <f>('TE BE'!$L$15+'TE BF'!$L$15+'TE CVA'!$L$15)*1</f>
        <v>0</v>
      </c>
      <c r="M15" s="20">
        <f>('TE BE'!$M$15+'TE BF'!$M$15+'TE CVA'!$M$15)*1</f>
        <v>15.999596213872602</v>
      </c>
      <c r="N15" s="20">
        <f>('TE BE'!$N$15+'TE BF'!$N$15+'TE CVA'!$N$15)*1</f>
        <v>0</v>
      </c>
      <c r="O15" s="20">
        <f>('TE BE'!$O$15+'TE BF'!$O$15+'TE CVA'!$O$15)*1</f>
        <v>0</v>
      </c>
      <c r="P15" s="20">
        <f>('TE BE'!$P$15+'TE BF'!$P$15+'TE CVA'!$P$15)*1</f>
        <v>0</v>
      </c>
      <c r="Q15" s="20">
        <f>('TE BE'!$R$15+'TE BF'!$R$15+'TE CVA'!$R$15)*1</f>
        <v>205.79250926283049</v>
      </c>
      <c r="R15" s="20">
        <f>('TE BE'!$T$15+'TE BF'!$T$15+'TE CVA'!$T$15)*1</f>
        <v>0</v>
      </c>
      <c r="S15" s="20">
        <f>('TE BE'!$U$15+'TE BF'!$U$15+'TE CVA'!$U$15)*1</f>
        <v>0</v>
      </c>
      <c r="T15" s="20">
        <f>('TE BE'!$V$15+'TE BF'!$V$15+'TE CVA'!$V$15)*1</f>
        <v>0</v>
      </c>
      <c r="U15" s="20">
        <f>('TE BE'!$X$15+'TE BF'!$X$15+'TE CVA'!$X$15)*1</f>
        <v>0</v>
      </c>
      <c r="V15" s="20">
        <f>('TE BE'!$Z$15+'TE BF'!$Z$15+'TE CVA'!$Z$15)*1</f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310.49930175958701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</row>
    <row r="16" spans="1:34" ht="11.25" customHeight="1" x14ac:dyDescent="0.3">
      <c r="A16" s="102"/>
      <c r="B16" s="102"/>
      <c r="C16" s="102"/>
      <c r="D16" s="22" t="s">
        <v>27</v>
      </c>
      <c r="E16" s="22" t="s">
        <v>25</v>
      </c>
      <c r="F16" s="22" t="s">
        <v>25</v>
      </c>
      <c r="G16" s="23" t="s">
        <v>74</v>
      </c>
      <c r="H16" s="23" t="s">
        <v>68</v>
      </c>
      <c r="I16" s="23">
        <f>'MERCADO TE'!$U$13</f>
        <v>0</v>
      </c>
      <c r="J16" s="15"/>
      <c r="L16" s="20">
        <f>('TE BE'!$L$16+'TE BF'!$L$16+'TE CVA'!$L$16)*(1 - 0.65)</f>
        <v>0</v>
      </c>
      <c r="M16" s="20">
        <f>('TE BE'!$M$16+'TE BF'!$M$16+'TE CVA'!$M$16)*(1 - 0.65)</f>
        <v>5.59985867485541</v>
      </c>
      <c r="N16" s="20">
        <f>('TE BE'!$N$16+'TE BF'!$N$16+'TE CVA'!$N$16)*(1 - 0.65)</f>
        <v>0</v>
      </c>
      <c r="O16" s="20">
        <f>('TE BE'!$O$16+'TE BF'!$O$16+'TE CVA'!$O$16)*(1 - 0.65)</f>
        <v>0</v>
      </c>
      <c r="P16" s="20">
        <f>('TE BE'!$P$16+'TE BF'!$P$16+'TE CVA'!$P$16)*(1 - 0.65)</f>
        <v>0</v>
      </c>
      <c r="Q16" s="20">
        <f>('TE BE'!$R$16+'TE BF'!$R$16+'TE CVA'!$R$16)*(1 - 0.65)</f>
        <v>72.027378241990661</v>
      </c>
      <c r="R16" s="20">
        <f>('TE BE'!$T$16+'TE BF'!$T$16+'TE CVA'!$T$16)*(1 - 0.65)</f>
        <v>0</v>
      </c>
      <c r="S16" s="20">
        <f>('TE BE'!$U$16+'TE BF'!$U$16+'TE CVA'!$U$16)*(1 - 0.65)</f>
        <v>0</v>
      </c>
      <c r="T16" s="20">
        <f>('TE BE'!$V$16+'TE BF'!$V$16+'TE CVA'!$V$16)*(1 - 0.65)</f>
        <v>0</v>
      </c>
      <c r="U16" s="20">
        <f>('TE BE'!$X$16+'TE BF'!$X$16+'TE CVA'!$X$16)*(1 - 0.65)</f>
        <v>0</v>
      </c>
      <c r="V16" s="20">
        <f>('TE BE'!$Z$16+'TE BF'!$Z$16+'TE CVA'!$Z$16)*(1 - 0.65)</f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108.67475561585501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</row>
    <row r="17" spans="1:34" ht="11.25" customHeight="1" x14ac:dyDescent="0.3">
      <c r="A17" s="102"/>
      <c r="B17" s="102"/>
      <c r="C17" s="102"/>
      <c r="D17" s="22" t="s">
        <v>28</v>
      </c>
      <c r="E17" s="22" t="s">
        <v>25</v>
      </c>
      <c r="F17" s="22" t="s">
        <v>25</v>
      </c>
      <c r="G17" s="23" t="s">
        <v>74</v>
      </c>
      <c r="H17" s="23" t="s">
        <v>68</v>
      </c>
      <c r="I17" s="23">
        <f>'MERCADO TE'!$U$14</f>
        <v>0</v>
      </c>
      <c r="J17" s="15"/>
      <c r="L17" s="20">
        <f>('TE BE'!$L$17+'TE BF'!$L$17+'TE CVA'!$L$17)*(1 - 0.4)</f>
        <v>0</v>
      </c>
      <c r="M17" s="20">
        <f>('TE BE'!$M$17+'TE BF'!$M$17+'TE CVA'!$M$17)*(1 - 0.4)</f>
        <v>9.59975772832356</v>
      </c>
      <c r="N17" s="20">
        <f>('TE BE'!$N$17+'TE BF'!$N$17+'TE CVA'!$N$17)*(1 - 0.4)</f>
        <v>0</v>
      </c>
      <c r="O17" s="20">
        <f>('TE BE'!$O$17+'TE BF'!$O$17+'TE CVA'!$O$17)*(1 - 0.4)</f>
        <v>0</v>
      </c>
      <c r="P17" s="20">
        <f>('TE BE'!$P$17+'TE BF'!$P$17+'TE CVA'!$P$17)*(1 - 0.4)</f>
        <v>0</v>
      </c>
      <c r="Q17" s="20">
        <f>('TE BE'!$R$17+'TE BF'!$R$17+'TE CVA'!$R$17)*(1 - 0.4)</f>
        <v>123.47550555769828</v>
      </c>
      <c r="R17" s="20">
        <f>('TE BE'!$T$17+'TE BF'!$T$17+'TE CVA'!$T$17)*(1 - 0.4)</f>
        <v>0</v>
      </c>
      <c r="S17" s="20">
        <f>('TE BE'!$U$17+'TE BF'!$U$17+'TE CVA'!$U$17)*(1 - 0.4)</f>
        <v>0</v>
      </c>
      <c r="T17" s="20">
        <f>('TE BE'!$V$17+'TE BF'!$V$17+'TE CVA'!$V$17)*(1 - 0.4)</f>
        <v>0</v>
      </c>
      <c r="U17" s="20">
        <f>('TE BE'!$X$17+'TE BF'!$X$17+'TE CVA'!$X$17)*(1 - 0.4)</f>
        <v>0</v>
      </c>
      <c r="V17" s="20">
        <f>('TE BE'!$Z$17+'TE BF'!$Z$17+'TE CVA'!$Z$17)*(1 - 0.4)</f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186.29958105575199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</row>
    <row r="18" spans="1:34" ht="11.25" customHeight="1" x14ac:dyDescent="0.3">
      <c r="A18" s="102"/>
      <c r="B18" s="102"/>
      <c r="C18" s="102"/>
      <c r="D18" s="22" t="s">
        <v>29</v>
      </c>
      <c r="E18" s="22" t="s">
        <v>25</v>
      </c>
      <c r="F18" s="22" t="s">
        <v>25</v>
      </c>
      <c r="G18" s="23" t="s">
        <v>74</v>
      </c>
      <c r="H18" s="23" t="s">
        <v>68</v>
      </c>
      <c r="I18" s="23">
        <f>'MERCADO TE'!$U$15</f>
        <v>0</v>
      </c>
      <c r="J18" s="15"/>
      <c r="L18" s="20">
        <f>('TE BE'!$L$18+'TE BF'!$L$18+'TE CVA'!$L$18)*(1 - 0.1)</f>
        <v>0</v>
      </c>
      <c r="M18" s="20">
        <f>('TE BE'!$M$18+'TE BF'!$M$18+'TE CVA'!$M$18)*(1 - 0.1)</f>
        <v>14.399636592485342</v>
      </c>
      <c r="N18" s="20">
        <f>('TE BE'!$N$18+'TE BF'!$N$18+'TE CVA'!$N$18)*(1 - 0.1)</f>
        <v>0</v>
      </c>
      <c r="O18" s="20">
        <f>('TE BE'!$O$18+'TE BF'!$O$18+'TE CVA'!$O$18)*(1 - 0.1)</f>
        <v>0</v>
      </c>
      <c r="P18" s="20">
        <f>('TE BE'!$P$18+'TE BF'!$P$18+'TE CVA'!$P$18)*(1 - 0.1)</f>
        <v>0</v>
      </c>
      <c r="Q18" s="20">
        <f>('TE BE'!$R$18+'TE BF'!$R$18+'TE CVA'!$R$18)*(1 - 0.1)</f>
        <v>185.21325833654745</v>
      </c>
      <c r="R18" s="20">
        <f>('TE BE'!$T$18+'TE BF'!$T$18+'TE CVA'!$T$18)*(1 - 0.1)</f>
        <v>0</v>
      </c>
      <c r="S18" s="20">
        <f>('TE BE'!$U$18+'TE BF'!$U$18+'TE CVA'!$U$18)*(1 - 0.1)</f>
        <v>0</v>
      </c>
      <c r="T18" s="20">
        <f>('TE BE'!$V$18+'TE BF'!$V$18+'TE CVA'!$V$18)*(1 - 0.1)</f>
        <v>0</v>
      </c>
      <c r="U18" s="20">
        <f>('TE BE'!$X$18+'TE BF'!$X$18+'TE CVA'!$X$18)*(1 - 0.1)</f>
        <v>0</v>
      </c>
      <c r="V18" s="20">
        <f>('TE BE'!$Z$18+'TE BF'!$Z$18+'TE CVA'!$Z$18)*(1 - 0.1)</f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279.44937158362802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</row>
    <row r="19" spans="1:34" ht="11.25" customHeight="1" x14ac:dyDescent="0.3">
      <c r="A19" s="102"/>
      <c r="B19" s="102"/>
      <c r="C19" s="102"/>
      <c r="D19" s="22" t="s">
        <v>30</v>
      </c>
      <c r="E19" s="22" t="s">
        <v>25</v>
      </c>
      <c r="F19" s="22" t="s">
        <v>25</v>
      </c>
      <c r="G19" s="23" t="s">
        <v>74</v>
      </c>
      <c r="H19" s="23" t="s">
        <v>68</v>
      </c>
      <c r="I19" s="23">
        <f>'MERCADO TE'!$U$16</f>
        <v>0</v>
      </c>
      <c r="J19" s="15"/>
      <c r="L19" s="20">
        <f>('TE BE'!$L$19+'TE BF'!$L$19+'TE CVA'!$L$19)*1</f>
        <v>0</v>
      </c>
      <c r="M19" s="20">
        <f>('TE BE'!$M$19+'TE BF'!$M$19+'TE CVA'!$M$19)*1</f>
        <v>15.999596213872602</v>
      </c>
      <c r="N19" s="20">
        <f>('TE BE'!$N$19+'TE BF'!$N$19+'TE CVA'!$N$19)*1</f>
        <v>0</v>
      </c>
      <c r="O19" s="20">
        <f>('TE BE'!$O$19+'TE BF'!$O$19+'TE CVA'!$O$19)*1</f>
        <v>0</v>
      </c>
      <c r="P19" s="20">
        <f>('TE BE'!$P$19+'TE BF'!$P$19+'TE CVA'!$P$19)*1</f>
        <v>0</v>
      </c>
      <c r="Q19" s="20">
        <f>('TE BE'!$R$19+'TE BF'!$R$19+'TE CVA'!$R$19)*1</f>
        <v>205.79250926283049</v>
      </c>
      <c r="R19" s="20">
        <f>('TE BE'!$T$19+'TE BF'!$T$19+'TE CVA'!$T$19)*1</f>
        <v>0</v>
      </c>
      <c r="S19" s="20">
        <f>('TE BE'!$U$19+'TE BF'!$U$19+'TE CVA'!$U$19)*1</f>
        <v>0</v>
      </c>
      <c r="T19" s="20">
        <f>('TE BE'!$V$19+'TE BF'!$V$19+'TE CVA'!$V$19)*1</f>
        <v>0</v>
      </c>
      <c r="U19" s="20">
        <f>('TE BE'!$X$19+'TE BF'!$X$19+'TE CVA'!$X$19)*1</f>
        <v>0</v>
      </c>
      <c r="V19" s="20">
        <f>('TE BE'!$Z$19+'TE BF'!$Z$19+'TE CVA'!$Z$19)*1</f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310.49930175958701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</row>
    <row r="20" spans="1:34" ht="11.25" customHeight="1" x14ac:dyDescent="0.3">
      <c r="A20" s="102" t="s">
        <v>39</v>
      </c>
      <c r="B20" s="102" t="s">
        <v>67</v>
      </c>
      <c r="C20" s="102" t="s">
        <v>40</v>
      </c>
      <c r="D20" s="102" t="s">
        <v>25</v>
      </c>
      <c r="E20" s="102" t="s">
        <v>25</v>
      </c>
      <c r="F20" s="102" t="s">
        <v>25</v>
      </c>
      <c r="G20" s="23" t="s">
        <v>69</v>
      </c>
      <c r="H20" s="23" t="s">
        <v>68</v>
      </c>
      <c r="I20" s="23">
        <f>'MERCADO TE'!$U$17</f>
        <v>0</v>
      </c>
      <c r="J20" s="15"/>
      <c r="L20" s="20">
        <f>('TE BE'!$L$20+'TE BF'!$L$20+'TE CVA'!$L$20)*(1 - CUSTOS!$M$38)</f>
        <v>0</v>
      </c>
      <c r="M20" s="20">
        <f>('TE BE'!$M$20+'TE BF'!$M$20+'TE CVA'!$M$20)*(1 - CUSTOS!$M$38)</f>
        <v>15.039620441040245</v>
      </c>
      <c r="N20" s="20">
        <f>('TE BE'!$N$20+'TE BF'!$N$20+'TE CVA'!$N$20)*(1 - CUSTOS!$M$38)</f>
        <v>0</v>
      </c>
      <c r="O20" s="20">
        <f>('TE BE'!$O$20+'TE BF'!$O$20+'TE CVA'!$O$20)*(1 - CUSTOS!$M$38)</f>
        <v>0</v>
      </c>
      <c r="P20" s="20">
        <f>('TE BE'!$P$20+'TE BF'!$P$20+'TE CVA'!$P$20)*(1 - CUSTOS!$M$38)</f>
        <v>0</v>
      </c>
      <c r="Q20" s="20">
        <f>('TE BE'!$R$20+'TE BF'!$R$20+'TE CVA'!$R$20)*(1 - CUSTOS!$M$38)</f>
        <v>193.44495870706066</v>
      </c>
      <c r="R20" s="20">
        <f>('TE BE'!$T$20+'TE BF'!$T$20+'TE CVA'!$T$20)*(1 - CUSTOS!$M$38)</f>
        <v>0</v>
      </c>
      <c r="S20" s="20">
        <f>('TE BE'!$U$20+'TE BF'!$U$20+'TE CVA'!$U$20)*(1 - CUSTOS!$M$38)</f>
        <v>0</v>
      </c>
      <c r="T20" s="20">
        <f>('TE BE'!$V$20+'TE BF'!$V$20+'TE CVA'!$V$20)*(1 - CUSTOS!$M$38)</f>
        <v>0</v>
      </c>
      <c r="U20" s="20">
        <f>('TE BE'!$X$20+'TE BF'!$X$20+'TE CVA'!$X$20)*(1 - CUSTOS!$M$38)</f>
        <v>0</v>
      </c>
      <c r="V20" s="20">
        <f>('TE BE'!$Z$20+'TE BF'!$Z$20+'TE CVA'!$Z$20)*(1 - CUSTOS!$M$38)</f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273.23938554843602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</row>
    <row r="21" spans="1:34" ht="11.25" customHeight="1" x14ac:dyDescent="0.3">
      <c r="A21" s="102"/>
      <c r="B21" s="102"/>
      <c r="C21" s="102"/>
      <c r="D21" s="102"/>
      <c r="E21" s="102"/>
      <c r="F21" s="102"/>
      <c r="G21" s="23" t="s">
        <v>80</v>
      </c>
      <c r="H21" s="23" t="s">
        <v>68</v>
      </c>
      <c r="I21" s="23">
        <f>'MERCADO TE'!$U$18</f>
        <v>0</v>
      </c>
      <c r="J21" s="15"/>
      <c r="L21" s="20">
        <f>('TE BE'!$L$21+'TE BF'!$L$21+'TE CVA'!$L$21)*(1 - CUSTOS!$M$38)</f>
        <v>0</v>
      </c>
      <c r="M21" s="20">
        <f>('TE BE'!$M$21+'TE BF'!$M$21+'TE CVA'!$M$21)*(1 - CUSTOS!$M$38)</f>
        <v>15.039620441040245</v>
      </c>
      <c r="N21" s="20">
        <f>('TE BE'!$N$21+'TE BF'!$N$21+'TE CVA'!$N$21)*(1 - CUSTOS!$M$38)</f>
        <v>0</v>
      </c>
      <c r="O21" s="20">
        <f>('TE BE'!$O$21+'TE BF'!$O$21+'TE CVA'!$O$21)*(1 - CUSTOS!$M$38)</f>
        <v>0</v>
      </c>
      <c r="P21" s="20">
        <f>('TE BE'!$P$21+'TE BF'!$P$21+'TE CVA'!$P$21)*(1 - CUSTOS!$M$38)</f>
        <v>0</v>
      </c>
      <c r="Q21" s="20">
        <f>('TE BE'!$R$21+'TE BF'!$R$21+'TE CVA'!$R$21)*(1 - CUSTOS!$M$38)</f>
        <v>193.44495870706066</v>
      </c>
      <c r="R21" s="20">
        <f>('TE BE'!$T$21+'TE BF'!$T$21+'TE CVA'!$T$21)*(1 - CUSTOS!$M$38)</f>
        <v>0</v>
      </c>
      <c r="S21" s="20">
        <f>('TE BE'!$U$21+'TE BF'!$U$21+'TE CVA'!$U$21)*(1 - CUSTOS!$M$38)</f>
        <v>0</v>
      </c>
      <c r="T21" s="20">
        <f>('TE BE'!$V$21+'TE BF'!$V$21+'TE CVA'!$V$21)*(1 - CUSTOS!$M$38)</f>
        <v>0</v>
      </c>
      <c r="U21" s="20">
        <f>('TE BE'!$X$21+'TE BF'!$X$21+'TE CVA'!$X$21)*(1 - CUSTOS!$M$38)</f>
        <v>0</v>
      </c>
      <c r="V21" s="20">
        <f>('TE BE'!$Z$21+'TE BF'!$Z$21+'TE CVA'!$Z$21)*(1 - CUSTOS!$M$38)</f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273.23938554843602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</row>
    <row r="22" spans="1:34" ht="11.25" customHeight="1" x14ac:dyDescent="0.3">
      <c r="A22" s="102"/>
      <c r="B22" s="102"/>
      <c r="C22" s="102"/>
      <c r="D22" s="102"/>
      <c r="E22" s="102"/>
      <c r="F22" s="102"/>
      <c r="G22" s="23" t="s">
        <v>70</v>
      </c>
      <c r="H22" s="23" t="s">
        <v>68</v>
      </c>
      <c r="I22" s="23">
        <f>'MERCADO TE'!$U$19</f>
        <v>0</v>
      </c>
      <c r="J22" s="15"/>
      <c r="L22" s="20">
        <f>('TE BE'!$L$22+'TE BF'!$L$22+'TE CVA'!$L$22)*(1 - CUSTOS!$M$38)</f>
        <v>0</v>
      </c>
      <c r="M22" s="20">
        <f>('TE BE'!$M$22+'TE BF'!$M$22+'TE CVA'!$M$22)*(1 - CUSTOS!$M$38)</f>
        <v>15.039620441040245</v>
      </c>
      <c r="N22" s="20">
        <f>('TE BE'!$N$22+'TE BF'!$N$22+'TE CVA'!$N$22)*(1 - CUSTOS!$M$38)</f>
        <v>0</v>
      </c>
      <c r="O22" s="20">
        <f>('TE BE'!$O$22+'TE BF'!$O$22+'TE CVA'!$O$22)*(1 - CUSTOS!$M$38)</f>
        <v>0</v>
      </c>
      <c r="P22" s="20">
        <f>('TE BE'!$P$22+'TE BF'!$P$22+'TE CVA'!$P$22)*(1 - CUSTOS!$M$38)</f>
        <v>0</v>
      </c>
      <c r="Q22" s="20">
        <f>('TE BE'!$R$22+'TE BF'!$R$22+'TE CVA'!$R$22)*(1 - CUSTOS!$M$38)</f>
        <v>193.44495870706066</v>
      </c>
      <c r="R22" s="20">
        <f>('TE BE'!$T$22+'TE BF'!$T$22+'TE CVA'!$T$22)*(1 - CUSTOS!$M$38)</f>
        <v>0</v>
      </c>
      <c r="S22" s="20">
        <f>('TE BE'!$U$22+'TE BF'!$U$22+'TE CVA'!$U$22)*(1 - CUSTOS!$M$38)</f>
        <v>0</v>
      </c>
      <c r="T22" s="20">
        <f>('TE BE'!$V$22+'TE BF'!$V$22+'TE CVA'!$V$22)*(1 - CUSTOS!$M$38)</f>
        <v>0</v>
      </c>
      <c r="U22" s="20">
        <f>('TE BE'!$X$22+'TE BF'!$X$22+'TE CVA'!$X$22)*(1 - CUSTOS!$M$38)</f>
        <v>0</v>
      </c>
      <c r="V22" s="20">
        <f>('TE BE'!$Z$22+'TE BF'!$Z$22+'TE CVA'!$Z$22)*(1 - CUSTOS!$M$38)</f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273.23938554843602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</row>
    <row r="23" spans="1:34" ht="11.25" customHeight="1" x14ac:dyDescent="0.3">
      <c r="A23" s="102"/>
      <c r="B23" s="22" t="s">
        <v>81</v>
      </c>
      <c r="C23" s="22" t="s">
        <v>40</v>
      </c>
      <c r="D23" s="22" t="s">
        <v>25</v>
      </c>
      <c r="E23" s="22" t="s">
        <v>25</v>
      </c>
      <c r="F23" s="22" t="s">
        <v>25</v>
      </c>
      <c r="G23" s="23" t="s">
        <v>74</v>
      </c>
      <c r="H23" s="23" t="s">
        <v>68</v>
      </c>
      <c r="I23" s="23">
        <f>'MERCADO TE'!$U$20</f>
        <v>5733.0710000000008</v>
      </c>
      <c r="J23" s="15"/>
      <c r="L23" s="20">
        <f>('TE BE'!$L$23+'TE BF'!$L$23+'TE CVA'!$L$23)*(1 - CUSTOS!$M$38)</f>
        <v>0</v>
      </c>
      <c r="M23" s="20">
        <f>('TE BE'!$M$23+'TE BF'!$M$23+'TE CVA'!$M$23)*(1 - CUSTOS!$M$38)</f>
        <v>15.039620441040245</v>
      </c>
      <c r="N23" s="20">
        <f>('TE BE'!$N$23+'TE BF'!$N$23+'TE CVA'!$N$23)*(1 - CUSTOS!$M$38)</f>
        <v>0</v>
      </c>
      <c r="O23" s="20">
        <f>('TE BE'!$O$23+'TE BF'!$O$23+'TE CVA'!$O$23)*(1 - CUSTOS!$M$38)</f>
        <v>0</v>
      </c>
      <c r="P23" s="20">
        <f>('TE BE'!$P$23+'TE BF'!$P$23+'TE CVA'!$P$23)*(1 - CUSTOS!$M$38)</f>
        <v>0</v>
      </c>
      <c r="Q23" s="20">
        <f>('TE BE'!$R$23+'TE BF'!$R$23+'TE CVA'!$R$23)*(1 - CUSTOS!$M$38)</f>
        <v>193.44495870706066</v>
      </c>
      <c r="R23" s="20">
        <f>('TE BE'!$T$23+'TE BF'!$T$23+'TE CVA'!$T$23)*(1 - CUSTOS!$M$38)</f>
        <v>0</v>
      </c>
      <c r="S23" s="20">
        <f>('TE BE'!$U$23+'TE BF'!$U$23+'TE CVA'!$U$23)*(1 - CUSTOS!$M$38)</f>
        <v>0</v>
      </c>
      <c r="T23" s="20">
        <f>('TE BE'!$V$23+'TE BF'!$V$23+'TE CVA'!$V$23)*(1 - CUSTOS!$M$38)</f>
        <v>0</v>
      </c>
      <c r="U23" s="20">
        <f>('TE BE'!$X$23+'TE BF'!$X$23+'TE CVA'!$X$23)*(1 - CUSTOS!$M$38)</f>
        <v>0</v>
      </c>
      <c r="V23" s="20">
        <f>('TE BE'!$Z$23+'TE BF'!$Z$23+'TE CVA'!$Z$23)*(1 - CUSTOS!$M$38)</f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273.23938554843602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</row>
    <row r="24" spans="1:34" ht="11.25" customHeight="1" x14ac:dyDescent="0.3">
      <c r="A24" s="102"/>
      <c r="B24" s="102" t="s">
        <v>67</v>
      </c>
      <c r="C24" s="102" t="s">
        <v>40</v>
      </c>
      <c r="D24" s="102" t="s">
        <v>85</v>
      </c>
      <c r="E24" s="102" t="s">
        <v>25</v>
      </c>
      <c r="F24" s="102" t="s">
        <v>25</v>
      </c>
      <c r="G24" s="23" t="s">
        <v>69</v>
      </c>
      <c r="H24" s="23" t="s">
        <v>68</v>
      </c>
      <c r="I24" s="23">
        <f>'MERCADO TE'!$U$21</f>
        <v>0</v>
      </c>
      <c r="J24" s="15"/>
      <c r="L24" s="20">
        <f>('TE BE'!$L$24+'TE BF'!$L$24+'TE CVA'!$L$24)*(1 - CUSTOS!$M$39)</f>
        <v>0</v>
      </c>
      <c r="M24" s="20">
        <f>('TE BE'!$M$24+'TE BF'!$M$24+'TE CVA'!$M$24)*(1 - CUSTOS!$M$39)</f>
        <v>15.039620441040245</v>
      </c>
      <c r="N24" s="20">
        <f>('TE BE'!$N$24+'TE BF'!$N$24+'TE CVA'!$N$24)*(1 - CUSTOS!$M$39)</f>
        <v>0</v>
      </c>
      <c r="O24" s="20">
        <f>('TE BE'!$O$24+'TE BF'!$O$24+'TE CVA'!$O$24)*(1 - CUSTOS!$M$39)</f>
        <v>0</v>
      </c>
      <c r="P24" s="20">
        <f>('TE BE'!$P$24+'TE BF'!$P$24+'TE CVA'!$P$24)*(1 - CUSTOS!$M$39)</f>
        <v>0</v>
      </c>
      <c r="Q24" s="20">
        <f>('TE BE'!$R$24+'TE BF'!$R$24+'TE CVA'!$R$24)*(1 - CUSTOS!$M$39)</f>
        <v>193.44495870706066</v>
      </c>
      <c r="R24" s="20">
        <f>('TE BE'!$T$24+'TE BF'!$T$24+'TE CVA'!$T$24)*(1 - CUSTOS!$M$39)</f>
        <v>0</v>
      </c>
      <c r="S24" s="20">
        <f>('TE BE'!$U$24+'TE BF'!$U$24+'TE CVA'!$U$24)*(1 - CUSTOS!$M$39)</f>
        <v>0</v>
      </c>
      <c r="T24" s="20">
        <f>('TE BE'!$V$24+'TE BF'!$V$24+'TE CVA'!$V$24)*(1 - CUSTOS!$M$39)</f>
        <v>0</v>
      </c>
      <c r="U24" s="20">
        <f>('TE BE'!$X$24+'TE BF'!$X$24+'TE CVA'!$X$24)*(1 - CUSTOS!$M$39)</f>
        <v>0</v>
      </c>
      <c r="V24" s="20">
        <f>('TE BE'!$Z$24+'TE BF'!$Z$24+'TE CVA'!$Z$24)*(1 - CUSTOS!$M$39)</f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273.23938554843602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</row>
    <row r="25" spans="1:34" ht="11.25" customHeight="1" x14ac:dyDescent="0.3">
      <c r="A25" s="102"/>
      <c r="B25" s="102"/>
      <c r="C25" s="102"/>
      <c r="D25" s="102"/>
      <c r="E25" s="102"/>
      <c r="F25" s="102"/>
      <c r="G25" s="23" t="s">
        <v>80</v>
      </c>
      <c r="H25" s="23" t="s">
        <v>68</v>
      </c>
      <c r="I25" s="23">
        <f>'MERCADO TE'!$U$22</f>
        <v>0</v>
      </c>
      <c r="J25" s="15"/>
      <c r="L25" s="20">
        <f>('TE BE'!$L$25+'TE BF'!$L$25+'TE CVA'!$L$25)*(1 - CUSTOS!$M$39)</f>
        <v>0</v>
      </c>
      <c r="M25" s="20">
        <f>('TE BE'!$M$25+'TE BF'!$M$25+'TE CVA'!$M$25)*(1 - CUSTOS!$M$39)</f>
        <v>15.039620441040245</v>
      </c>
      <c r="N25" s="20">
        <f>('TE BE'!$N$25+'TE BF'!$N$25+'TE CVA'!$N$25)*(1 - CUSTOS!$M$39)</f>
        <v>0</v>
      </c>
      <c r="O25" s="20">
        <f>('TE BE'!$O$25+'TE BF'!$O$25+'TE CVA'!$O$25)*(1 - CUSTOS!$M$39)</f>
        <v>0</v>
      </c>
      <c r="P25" s="20">
        <f>('TE BE'!$P$25+'TE BF'!$P$25+'TE CVA'!$P$25)*(1 - CUSTOS!$M$39)</f>
        <v>0</v>
      </c>
      <c r="Q25" s="20">
        <f>('TE BE'!$R$25+'TE BF'!$R$25+'TE CVA'!$R$25)*(1 - CUSTOS!$M$39)</f>
        <v>193.44495870706066</v>
      </c>
      <c r="R25" s="20">
        <f>('TE BE'!$T$25+'TE BF'!$T$25+'TE CVA'!$T$25)*(1 - CUSTOS!$M$39)</f>
        <v>0</v>
      </c>
      <c r="S25" s="20">
        <f>('TE BE'!$U$25+'TE BF'!$U$25+'TE CVA'!$U$25)*(1 - CUSTOS!$M$39)</f>
        <v>0</v>
      </c>
      <c r="T25" s="20">
        <f>('TE BE'!$V$25+'TE BF'!$V$25+'TE CVA'!$V$25)*(1 - CUSTOS!$M$39)</f>
        <v>0</v>
      </c>
      <c r="U25" s="20">
        <f>('TE BE'!$X$25+'TE BF'!$X$25+'TE CVA'!$X$25)*(1 - CUSTOS!$M$39)</f>
        <v>0</v>
      </c>
      <c r="V25" s="20">
        <f>('TE BE'!$Z$25+'TE BF'!$Z$25+'TE CVA'!$Z$25)*(1 - CUSTOS!$M$39)</f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273.23938554843602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</row>
    <row r="26" spans="1:34" ht="11.25" customHeight="1" x14ac:dyDescent="0.3">
      <c r="A26" s="102"/>
      <c r="B26" s="102"/>
      <c r="C26" s="102"/>
      <c r="D26" s="102"/>
      <c r="E26" s="102"/>
      <c r="F26" s="102"/>
      <c r="G26" s="23" t="s">
        <v>70</v>
      </c>
      <c r="H26" s="23" t="s">
        <v>68</v>
      </c>
      <c r="I26" s="23">
        <f>'MERCADO TE'!$U$23</f>
        <v>0</v>
      </c>
      <c r="J26" s="15"/>
      <c r="L26" s="20">
        <f>('TE BE'!$L$26+'TE BF'!$L$26+'TE CVA'!$L$26)*(1 - CUSTOS!$M$39)</f>
        <v>0</v>
      </c>
      <c r="M26" s="20">
        <f>('TE BE'!$M$26+'TE BF'!$M$26+'TE CVA'!$M$26)*(1 - CUSTOS!$M$39)</f>
        <v>15.039620441040245</v>
      </c>
      <c r="N26" s="20">
        <f>('TE BE'!$N$26+'TE BF'!$N$26+'TE CVA'!$N$26)*(1 - CUSTOS!$M$39)</f>
        <v>0</v>
      </c>
      <c r="O26" s="20">
        <f>('TE BE'!$O$26+'TE BF'!$O$26+'TE CVA'!$O$26)*(1 - CUSTOS!$M$39)</f>
        <v>0</v>
      </c>
      <c r="P26" s="20">
        <f>('TE BE'!$P$26+'TE BF'!$P$26+'TE CVA'!$P$26)*(1 - CUSTOS!$M$39)</f>
        <v>0</v>
      </c>
      <c r="Q26" s="20">
        <f>('TE BE'!$R$26+'TE BF'!$R$26+'TE CVA'!$R$26)*(1 - CUSTOS!$M$39)</f>
        <v>193.44495870706066</v>
      </c>
      <c r="R26" s="20">
        <f>('TE BE'!$T$26+'TE BF'!$T$26+'TE CVA'!$T$26)*(1 - CUSTOS!$M$39)</f>
        <v>0</v>
      </c>
      <c r="S26" s="20">
        <f>('TE BE'!$U$26+'TE BF'!$U$26+'TE CVA'!$U$26)*(1 - CUSTOS!$M$39)</f>
        <v>0</v>
      </c>
      <c r="T26" s="20">
        <f>('TE BE'!$V$26+'TE BF'!$V$26+'TE CVA'!$V$26)*(1 - CUSTOS!$M$39)</f>
        <v>0</v>
      </c>
      <c r="U26" s="20">
        <f>('TE BE'!$X$26+'TE BF'!$X$26+'TE CVA'!$X$26)*(1 - CUSTOS!$M$39)</f>
        <v>0</v>
      </c>
      <c r="V26" s="20">
        <f>('TE BE'!$Z$26+'TE BF'!$Z$26+'TE CVA'!$Z$26)*(1 - CUSTOS!$M$39)</f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273.23938554843602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</row>
    <row r="27" spans="1:34" ht="11.25" customHeight="1" x14ac:dyDescent="0.3">
      <c r="A27" s="102"/>
      <c r="B27" s="22" t="s">
        <v>81</v>
      </c>
      <c r="C27" s="22" t="s">
        <v>40</v>
      </c>
      <c r="D27" s="22" t="s">
        <v>85</v>
      </c>
      <c r="E27" s="22" t="s">
        <v>25</v>
      </c>
      <c r="F27" s="22" t="s">
        <v>25</v>
      </c>
      <c r="G27" s="23" t="s">
        <v>74</v>
      </c>
      <c r="H27" s="23" t="s">
        <v>68</v>
      </c>
      <c r="I27" s="23">
        <f>'MERCADO TE'!$U$24</f>
        <v>0</v>
      </c>
      <c r="J27" s="15"/>
      <c r="L27" s="20">
        <f>('TE BE'!$L$27+'TE BF'!$L$27+'TE CVA'!$L$27)*(1 - CUSTOS!$M$39)</f>
        <v>0</v>
      </c>
      <c r="M27" s="20">
        <f>('TE BE'!$M$27+'TE BF'!$M$27+'TE CVA'!$M$27)*(1 - CUSTOS!$M$39)</f>
        <v>15.039620441040245</v>
      </c>
      <c r="N27" s="20">
        <f>('TE BE'!$N$27+'TE BF'!$N$27+'TE CVA'!$N$27)*(1 - CUSTOS!$M$39)</f>
        <v>0</v>
      </c>
      <c r="O27" s="20">
        <f>('TE BE'!$O$27+'TE BF'!$O$27+'TE CVA'!$O$27)*(1 - CUSTOS!$M$39)</f>
        <v>0</v>
      </c>
      <c r="P27" s="20">
        <f>('TE BE'!$P$27+'TE BF'!$P$27+'TE CVA'!$P$27)*(1 - CUSTOS!$M$39)</f>
        <v>0</v>
      </c>
      <c r="Q27" s="20">
        <f>('TE BE'!$R$27+'TE BF'!$R$27+'TE CVA'!$R$27)*(1 - CUSTOS!$M$39)</f>
        <v>193.44495870706066</v>
      </c>
      <c r="R27" s="20">
        <f>('TE BE'!$T$27+'TE BF'!$T$27+'TE CVA'!$T$27)*(1 - CUSTOS!$M$39)</f>
        <v>0</v>
      </c>
      <c r="S27" s="20">
        <f>('TE BE'!$U$27+'TE BF'!$U$27+'TE CVA'!$U$27)*(1 - CUSTOS!$M$39)</f>
        <v>0</v>
      </c>
      <c r="T27" s="20">
        <f>('TE BE'!$V$27+'TE BF'!$V$27+'TE CVA'!$V$27)*(1 - CUSTOS!$M$39)</f>
        <v>0</v>
      </c>
      <c r="U27" s="20">
        <f>('TE BE'!$X$27+'TE BF'!$X$27+'TE CVA'!$X$27)*(1 - CUSTOS!$M$39)</f>
        <v>0</v>
      </c>
      <c r="V27" s="20">
        <f>('TE BE'!$Z$27+'TE BF'!$Z$27+'TE CVA'!$Z$27)*(1 - CUSTOS!$M$39)</f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273.23938554843602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</row>
    <row r="28" spans="1:34" ht="11.25" customHeight="1" x14ac:dyDescent="0.3">
      <c r="A28" s="102"/>
      <c r="B28" s="102" t="s">
        <v>67</v>
      </c>
      <c r="C28" s="102" t="s">
        <v>40</v>
      </c>
      <c r="D28" s="102" t="s">
        <v>86</v>
      </c>
      <c r="E28" s="102" t="s">
        <v>25</v>
      </c>
      <c r="F28" s="102" t="s">
        <v>25</v>
      </c>
      <c r="G28" s="23" t="s">
        <v>69</v>
      </c>
      <c r="H28" s="23" t="s">
        <v>68</v>
      </c>
      <c r="I28" s="23">
        <f>'MERCADO TE'!$U$25</f>
        <v>0</v>
      </c>
      <c r="J28" s="15"/>
      <c r="L28" s="20">
        <f>('TE BE'!$L$28+'TE BF'!$L$28+'TE CVA'!$L$28)*(1 - CUSTOS!$M$40)</f>
        <v>0</v>
      </c>
      <c r="M28" s="20">
        <f>('TE BE'!$M$28+'TE BF'!$M$28+'TE CVA'!$M$28)*(1 - CUSTOS!$M$40)</f>
        <v>14.719628516762794</v>
      </c>
      <c r="N28" s="20">
        <f>('TE BE'!$N$28+'TE BF'!$N$28+'TE CVA'!$N$28)*(1 - CUSTOS!$M$40)</f>
        <v>0</v>
      </c>
      <c r="O28" s="20">
        <f>('TE BE'!$O$28+'TE BF'!$O$28+'TE CVA'!$O$28)*(1 - CUSTOS!$M$40)</f>
        <v>0</v>
      </c>
      <c r="P28" s="20">
        <f>('TE BE'!$P$28+'TE BF'!$P$28+'TE CVA'!$P$28)*(1 - CUSTOS!$M$40)</f>
        <v>0</v>
      </c>
      <c r="Q28" s="20">
        <f>('TE BE'!$R$28+'TE BF'!$R$28+'TE CVA'!$R$28)*(1 - CUSTOS!$M$40)</f>
        <v>189.32910852180407</v>
      </c>
      <c r="R28" s="20">
        <f>('TE BE'!$T$28+'TE BF'!$T$28+'TE CVA'!$T$28)*(1 - CUSTOS!$M$40)</f>
        <v>0</v>
      </c>
      <c r="S28" s="20">
        <f>('TE BE'!$U$28+'TE BF'!$U$28+'TE CVA'!$U$28)*(1 - CUSTOS!$M$40)</f>
        <v>0</v>
      </c>
      <c r="T28" s="20">
        <f>('TE BE'!$V$28+'TE BF'!$V$28+'TE CVA'!$V$28)*(1 - CUSTOS!$M$40)</f>
        <v>0</v>
      </c>
      <c r="U28" s="20">
        <f>('TE BE'!$X$28+'TE BF'!$X$28+'TE CVA'!$X$28)*(1 - CUSTOS!$M$40)</f>
        <v>0</v>
      </c>
      <c r="V28" s="20">
        <f>('TE BE'!$Z$28+'TE BF'!$Z$28+'TE CVA'!$Z$28)*(1 - CUSTOS!$M$40)</f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260.81941347805298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</row>
    <row r="29" spans="1:34" ht="11.25" customHeight="1" x14ac:dyDescent="0.3">
      <c r="A29" s="102"/>
      <c r="B29" s="102"/>
      <c r="C29" s="102"/>
      <c r="D29" s="102"/>
      <c r="E29" s="102"/>
      <c r="F29" s="102"/>
      <c r="G29" s="23" t="s">
        <v>80</v>
      </c>
      <c r="H29" s="23" t="s">
        <v>68</v>
      </c>
      <c r="I29" s="23">
        <f>'MERCADO TE'!$U$26</f>
        <v>0</v>
      </c>
      <c r="J29" s="15"/>
      <c r="L29" s="20">
        <f>('TE BE'!$L$29+'TE BF'!$L$29+'TE CVA'!$L$29)*(1 - CUSTOS!$M$40)</f>
        <v>0</v>
      </c>
      <c r="M29" s="20">
        <f>('TE BE'!$M$29+'TE BF'!$M$29+'TE CVA'!$M$29)*(1 - CUSTOS!$M$40)</f>
        <v>14.719628516762794</v>
      </c>
      <c r="N29" s="20">
        <f>('TE BE'!$N$29+'TE BF'!$N$29+'TE CVA'!$N$29)*(1 - CUSTOS!$M$40)</f>
        <v>0</v>
      </c>
      <c r="O29" s="20">
        <f>('TE BE'!$O$29+'TE BF'!$O$29+'TE CVA'!$O$29)*(1 - CUSTOS!$M$40)</f>
        <v>0</v>
      </c>
      <c r="P29" s="20">
        <f>('TE BE'!$P$29+'TE BF'!$P$29+'TE CVA'!$P$29)*(1 - CUSTOS!$M$40)</f>
        <v>0</v>
      </c>
      <c r="Q29" s="20">
        <f>('TE BE'!$R$29+'TE BF'!$R$29+'TE CVA'!$R$29)*(1 - CUSTOS!$M$40)</f>
        <v>189.32910852180407</v>
      </c>
      <c r="R29" s="20">
        <f>('TE BE'!$T$29+'TE BF'!$T$29+'TE CVA'!$T$29)*(1 - CUSTOS!$M$40)</f>
        <v>0</v>
      </c>
      <c r="S29" s="20">
        <f>('TE BE'!$U$29+'TE BF'!$U$29+'TE CVA'!$U$29)*(1 - CUSTOS!$M$40)</f>
        <v>0</v>
      </c>
      <c r="T29" s="20">
        <f>('TE BE'!$V$29+'TE BF'!$V$29+'TE CVA'!$V$29)*(1 - CUSTOS!$M$40)</f>
        <v>0</v>
      </c>
      <c r="U29" s="20">
        <f>('TE BE'!$X$29+'TE BF'!$X$29+'TE CVA'!$X$29)*(1 - CUSTOS!$M$40)</f>
        <v>0</v>
      </c>
      <c r="V29" s="20">
        <f>('TE BE'!$Z$29+'TE BF'!$Z$29+'TE CVA'!$Z$29)*(1 - CUSTOS!$M$40)</f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260.81941347805298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</row>
    <row r="30" spans="1:34" ht="11.25" customHeight="1" x14ac:dyDescent="0.3">
      <c r="A30" s="102"/>
      <c r="B30" s="102"/>
      <c r="C30" s="102"/>
      <c r="D30" s="102"/>
      <c r="E30" s="102"/>
      <c r="F30" s="102"/>
      <c r="G30" s="23" t="s">
        <v>70</v>
      </c>
      <c r="H30" s="23" t="s">
        <v>68</v>
      </c>
      <c r="I30" s="23">
        <f>'MERCADO TE'!$U$27</f>
        <v>0</v>
      </c>
      <c r="J30" s="15"/>
      <c r="L30" s="20">
        <f>('TE BE'!$L$30+'TE BF'!$L$30+'TE CVA'!$L$30)*(1 - CUSTOS!$M$40)</f>
        <v>0</v>
      </c>
      <c r="M30" s="20">
        <f>('TE BE'!$M$30+'TE BF'!$M$30+'TE CVA'!$M$30)*(1 - CUSTOS!$M$40)</f>
        <v>14.719628516762794</v>
      </c>
      <c r="N30" s="20">
        <f>('TE BE'!$N$30+'TE BF'!$N$30+'TE CVA'!$N$30)*(1 - CUSTOS!$M$40)</f>
        <v>0</v>
      </c>
      <c r="O30" s="20">
        <f>('TE BE'!$O$30+'TE BF'!$O$30+'TE CVA'!$O$30)*(1 - CUSTOS!$M$40)</f>
        <v>0</v>
      </c>
      <c r="P30" s="20">
        <f>('TE BE'!$P$30+'TE BF'!$P$30+'TE CVA'!$P$30)*(1 - CUSTOS!$M$40)</f>
        <v>0</v>
      </c>
      <c r="Q30" s="20">
        <f>('TE BE'!$R$30+'TE BF'!$R$30+'TE CVA'!$R$30)*(1 - CUSTOS!$M$40)</f>
        <v>189.32910852180407</v>
      </c>
      <c r="R30" s="20">
        <f>('TE BE'!$T$30+'TE BF'!$T$30+'TE CVA'!$T$30)*(1 - CUSTOS!$M$40)</f>
        <v>0</v>
      </c>
      <c r="S30" s="20">
        <f>('TE BE'!$U$30+'TE BF'!$U$30+'TE CVA'!$U$30)*(1 - CUSTOS!$M$40)</f>
        <v>0</v>
      </c>
      <c r="T30" s="20">
        <f>('TE BE'!$V$30+'TE BF'!$V$30+'TE CVA'!$V$30)*(1 - CUSTOS!$M$40)</f>
        <v>0</v>
      </c>
      <c r="U30" s="20">
        <f>('TE BE'!$X$30+'TE BF'!$X$30+'TE CVA'!$X$30)*(1 - CUSTOS!$M$40)</f>
        <v>0</v>
      </c>
      <c r="V30" s="20">
        <f>('TE BE'!$Z$30+'TE BF'!$Z$30+'TE CVA'!$Z$30)*(1 - CUSTOS!$M$40)</f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260.81941347805298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</row>
    <row r="31" spans="1:34" ht="11.25" customHeight="1" x14ac:dyDescent="0.3">
      <c r="A31" s="102"/>
      <c r="B31" s="22" t="s">
        <v>81</v>
      </c>
      <c r="C31" s="22" t="s">
        <v>40</v>
      </c>
      <c r="D31" s="22" t="s">
        <v>86</v>
      </c>
      <c r="E31" s="22" t="s">
        <v>25</v>
      </c>
      <c r="F31" s="22" t="s">
        <v>25</v>
      </c>
      <c r="G31" s="23" t="s">
        <v>74</v>
      </c>
      <c r="H31" s="23" t="s">
        <v>68</v>
      </c>
      <c r="I31" s="23">
        <f>'MERCADO TE'!$U$28</f>
        <v>0</v>
      </c>
      <c r="J31" s="15"/>
      <c r="L31" s="20">
        <f>('TE BE'!$L$31+'TE BF'!$L$31+'TE CVA'!$L$31)*(1 - CUSTOS!$M$40)</f>
        <v>0</v>
      </c>
      <c r="M31" s="20">
        <f>('TE BE'!$M$31+'TE BF'!$M$31+'TE CVA'!$M$31)*(1 - CUSTOS!$M$40)</f>
        <v>14.719628516762794</v>
      </c>
      <c r="N31" s="20">
        <f>('TE BE'!$N$31+'TE BF'!$N$31+'TE CVA'!$N$31)*(1 - CUSTOS!$M$40)</f>
        <v>0</v>
      </c>
      <c r="O31" s="20">
        <f>('TE BE'!$O$31+'TE BF'!$O$31+'TE CVA'!$O$31)*(1 - CUSTOS!$M$40)</f>
        <v>0</v>
      </c>
      <c r="P31" s="20">
        <f>('TE BE'!$P$31+'TE BF'!$P$31+'TE CVA'!$P$31)*(1 - CUSTOS!$M$40)</f>
        <v>0</v>
      </c>
      <c r="Q31" s="20">
        <f>('TE BE'!$R$31+'TE BF'!$R$31+'TE CVA'!$R$31)*(1 - CUSTOS!$M$40)</f>
        <v>189.32910852180407</v>
      </c>
      <c r="R31" s="20">
        <f>('TE BE'!$T$31+'TE BF'!$T$31+'TE CVA'!$T$31)*(1 - CUSTOS!$M$40)</f>
        <v>0</v>
      </c>
      <c r="S31" s="20">
        <f>('TE BE'!$U$31+'TE BF'!$U$31+'TE CVA'!$U$31)*(1 - CUSTOS!$M$40)</f>
        <v>0</v>
      </c>
      <c r="T31" s="20">
        <f>('TE BE'!$V$31+'TE BF'!$V$31+'TE CVA'!$V$31)*(1 - CUSTOS!$M$40)</f>
        <v>0</v>
      </c>
      <c r="U31" s="20">
        <f>('TE BE'!$X$31+'TE BF'!$X$31+'TE CVA'!$X$31)*(1 - CUSTOS!$M$40)</f>
        <v>0</v>
      </c>
      <c r="V31" s="20">
        <f>('TE BE'!$Z$31+'TE BF'!$Z$31+'TE CVA'!$Z$31)*(1 - CUSTOS!$M$40)</f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260.81941347805298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</row>
    <row r="32" spans="1:34" ht="11.25" customHeight="1" x14ac:dyDescent="0.3">
      <c r="A32" s="102"/>
      <c r="B32" s="102" t="s">
        <v>83</v>
      </c>
      <c r="C32" s="102" t="s">
        <v>40</v>
      </c>
      <c r="D32" s="22" t="s">
        <v>25</v>
      </c>
      <c r="E32" s="22" t="s">
        <v>25</v>
      </c>
      <c r="F32" s="22" t="s">
        <v>25</v>
      </c>
      <c r="G32" s="23" t="s">
        <v>74</v>
      </c>
      <c r="H32" s="23" t="s">
        <v>68</v>
      </c>
      <c r="I32" s="23">
        <f>'MERCADO TE'!$U$29</f>
        <v>0</v>
      </c>
      <c r="J32" s="15"/>
      <c r="L32" s="20">
        <f>('TE BE'!$L$32+'TE BF'!$L$32+'TE CVA'!$L$32)*(1 - CUSTOS!$M$38)</f>
        <v>0</v>
      </c>
      <c r="M32" s="20">
        <f>('TE BE'!$M$32+'TE BF'!$M$32+'TE CVA'!$M$32)*(1 - CUSTOS!$M$38)</f>
        <v>15.039620441040245</v>
      </c>
      <c r="N32" s="20">
        <f>('TE BE'!$N$32+'TE BF'!$N$32+'TE CVA'!$N$32)*(1 - CUSTOS!$M$38)</f>
        <v>0</v>
      </c>
      <c r="O32" s="20">
        <f>('TE BE'!$O$32+'TE BF'!$O$32+'TE CVA'!$O$32)*(1 - CUSTOS!$M$38)</f>
        <v>0</v>
      </c>
      <c r="P32" s="20">
        <f>('TE BE'!$P$32+'TE BF'!$P$32+'TE CVA'!$P$32)*(1 - CUSTOS!$M$38)</f>
        <v>0</v>
      </c>
      <c r="Q32" s="20">
        <f>('TE BE'!$R$32+'TE BF'!$R$32+'TE CVA'!$R$32)*(1 - CUSTOS!$M$38)</f>
        <v>193.44495870706066</v>
      </c>
      <c r="R32" s="20">
        <f>('TE BE'!$T$32+'TE BF'!$T$32+'TE CVA'!$T$32)*(1 - CUSTOS!$M$38)</f>
        <v>0</v>
      </c>
      <c r="S32" s="20">
        <f>('TE BE'!$U$32+'TE BF'!$U$32+'TE CVA'!$U$32)*(1 - CUSTOS!$M$38)</f>
        <v>0</v>
      </c>
      <c r="T32" s="20">
        <f>('TE BE'!$V$32+'TE BF'!$V$32+'TE CVA'!$V$32)*(1 - CUSTOS!$M$38)</f>
        <v>0</v>
      </c>
      <c r="U32" s="20">
        <f>('TE BE'!$X$32+'TE BF'!$X$32+'TE CVA'!$X$32)*(1 - CUSTOS!$M$38)</f>
        <v>0</v>
      </c>
      <c r="V32" s="20">
        <f>('TE BE'!$Z$32+'TE BF'!$Z$32+'TE CVA'!$Z$32)*(1 - CUSTOS!$M$38)</f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273.23938554843602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</row>
    <row r="33" spans="1:34" ht="11.25" customHeight="1" x14ac:dyDescent="0.3">
      <c r="A33" s="102"/>
      <c r="B33" s="102"/>
      <c r="C33" s="102"/>
      <c r="D33" s="22" t="s">
        <v>85</v>
      </c>
      <c r="E33" s="22" t="s">
        <v>25</v>
      </c>
      <c r="F33" s="22" t="s">
        <v>25</v>
      </c>
      <c r="G33" s="23" t="s">
        <v>74</v>
      </c>
      <c r="H33" s="23" t="s">
        <v>68</v>
      </c>
      <c r="I33" s="23">
        <f>'MERCADO TE'!$U$30</f>
        <v>0</v>
      </c>
      <c r="J33" s="15"/>
      <c r="L33" s="20">
        <f>('TE BE'!$L$33+'TE BF'!$L$33+'TE CVA'!$L$33)*(1 - CUSTOS!$M$39)</f>
        <v>0</v>
      </c>
      <c r="M33" s="20">
        <f>('TE BE'!$M$33+'TE BF'!$M$33+'TE CVA'!$M$33)*(1 - CUSTOS!$M$39)</f>
        <v>15.039620441040245</v>
      </c>
      <c r="N33" s="20">
        <f>('TE BE'!$N$33+'TE BF'!$N$33+'TE CVA'!$N$33)*(1 - CUSTOS!$M$39)</f>
        <v>0</v>
      </c>
      <c r="O33" s="20">
        <f>('TE BE'!$O$33+'TE BF'!$O$33+'TE CVA'!$O$33)*(1 - CUSTOS!$M$39)</f>
        <v>0</v>
      </c>
      <c r="P33" s="20">
        <f>('TE BE'!$P$33+'TE BF'!$P$33+'TE CVA'!$P$33)*(1 - CUSTOS!$M$39)</f>
        <v>0</v>
      </c>
      <c r="Q33" s="20">
        <f>('TE BE'!$R$33+'TE BF'!$R$33+'TE CVA'!$R$33)*(1 - CUSTOS!$M$39)</f>
        <v>193.44495870706066</v>
      </c>
      <c r="R33" s="20">
        <f>('TE BE'!$T$33+'TE BF'!$T$33+'TE CVA'!$T$33)*(1 - CUSTOS!$M$39)</f>
        <v>0</v>
      </c>
      <c r="S33" s="20">
        <f>('TE BE'!$U$33+'TE BF'!$U$33+'TE CVA'!$U$33)*(1 - CUSTOS!$M$39)</f>
        <v>0</v>
      </c>
      <c r="T33" s="20">
        <f>('TE BE'!$V$33+'TE BF'!$V$33+'TE CVA'!$V$33)*(1 - CUSTOS!$M$39)</f>
        <v>0</v>
      </c>
      <c r="U33" s="20">
        <f>('TE BE'!$X$33+'TE BF'!$X$33+'TE CVA'!$X$33)*(1 - CUSTOS!$M$39)</f>
        <v>0</v>
      </c>
      <c r="V33" s="20">
        <f>('TE BE'!$Z$33+'TE BF'!$Z$33+'TE CVA'!$Z$33)*(1 - CUSTOS!$M$39)</f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273.23938554843602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</row>
    <row r="34" spans="1:34" ht="11.25" customHeight="1" x14ac:dyDescent="0.3">
      <c r="A34" s="102"/>
      <c r="B34" s="102"/>
      <c r="C34" s="102"/>
      <c r="D34" s="22" t="s">
        <v>86</v>
      </c>
      <c r="E34" s="22" t="s">
        <v>25</v>
      </c>
      <c r="F34" s="22" t="s">
        <v>25</v>
      </c>
      <c r="G34" s="23" t="s">
        <v>74</v>
      </c>
      <c r="H34" s="23" t="s">
        <v>68</v>
      </c>
      <c r="I34" s="23">
        <f>'MERCADO TE'!$U$31</f>
        <v>0</v>
      </c>
      <c r="J34" s="15"/>
      <c r="L34" s="20">
        <f>('TE BE'!$L$34+'TE BF'!$L$34+'TE CVA'!$L$34)*(1 - CUSTOS!$M$40)</f>
        <v>0</v>
      </c>
      <c r="M34" s="20">
        <f>('TE BE'!$M$34+'TE BF'!$M$34+'TE CVA'!$M$34)*(1 - CUSTOS!$M$40)</f>
        <v>14.719628516762794</v>
      </c>
      <c r="N34" s="20">
        <f>('TE BE'!$N$34+'TE BF'!$N$34+'TE CVA'!$N$34)*(1 - CUSTOS!$M$40)</f>
        <v>0</v>
      </c>
      <c r="O34" s="20">
        <f>('TE BE'!$O$34+'TE BF'!$O$34+'TE CVA'!$O$34)*(1 - CUSTOS!$M$40)</f>
        <v>0</v>
      </c>
      <c r="P34" s="20">
        <f>('TE BE'!$P$34+'TE BF'!$P$34+'TE CVA'!$P$34)*(1 - CUSTOS!$M$40)</f>
        <v>0</v>
      </c>
      <c r="Q34" s="20">
        <f>('TE BE'!$R$34+'TE BF'!$R$34+'TE CVA'!$R$34)*(1 - CUSTOS!$M$40)</f>
        <v>189.32910852180407</v>
      </c>
      <c r="R34" s="20">
        <f>('TE BE'!$T$34+'TE BF'!$T$34+'TE CVA'!$T$34)*(1 - CUSTOS!$M$40)</f>
        <v>0</v>
      </c>
      <c r="S34" s="20">
        <f>('TE BE'!$U$34+'TE BF'!$U$34+'TE CVA'!$U$34)*(1 - CUSTOS!$M$40)</f>
        <v>0</v>
      </c>
      <c r="T34" s="20">
        <f>('TE BE'!$V$34+'TE BF'!$V$34+'TE CVA'!$V$34)*(1 - CUSTOS!$M$40)</f>
        <v>0</v>
      </c>
      <c r="U34" s="20">
        <f>('TE BE'!$X$34+'TE BF'!$X$34+'TE CVA'!$X$34)*(1 - CUSTOS!$M$40)</f>
        <v>0</v>
      </c>
      <c r="V34" s="20">
        <f>('TE BE'!$Z$34+'TE BF'!$Z$34+'TE CVA'!$Z$34)*(1 - CUSTOS!$M$40)</f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260.81941347805298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</row>
    <row r="35" spans="1:34" ht="11.25" customHeight="1" x14ac:dyDescent="0.3">
      <c r="A35" s="102" t="s">
        <v>31</v>
      </c>
      <c r="B35" s="102" t="s">
        <v>67</v>
      </c>
      <c r="C35" s="102" t="s">
        <v>25</v>
      </c>
      <c r="D35" s="102" t="s">
        <v>25</v>
      </c>
      <c r="E35" s="102" t="s">
        <v>25</v>
      </c>
      <c r="F35" s="102" t="s">
        <v>25</v>
      </c>
      <c r="G35" s="23" t="s">
        <v>69</v>
      </c>
      <c r="H35" s="23" t="s">
        <v>68</v>
      </c>
      <c r="I35" s="23">
        <f>'MERCADO TE'!$U$32</f>
        <v>0</v>
      </c>
      <c r="J35" s="15"/>
      <c r="L35" s="20">
        <f>('TE BE'!$L$35+'TE BF'!$L$35+'TE CVA'!$L$35)*1</f>
        <v>0</v>
      </c>
      <c r="M35" s="20">
        <f>('TE BE'!$M$35+'TE BF'!$M$35+'TE CVA'!$M$35)*1</f>
        <v>15.999596213872602</v>
      </c>
      <c r="N35" s="20">
        <f>('TE BE'!$N$35+'TE BF'!$N$35+'TE CVA'!$N$35)*1</f>
        <v>0</v>
      </c>
      <c r="O35" s="20">
        <f>('TE BE'!$O$35+'TE BF'!$O$35+'TE CVA'!$O$35)*1</f>
        <v>0</v>
      </c>
      <c r="P35" s="20">
        <f>('TE BE'!$P$35+'TE BF'!$P$35+'TE CVA'!$P$35)*1</f>
        <v>0</v>
      </c>
      <c r="Q35" s="20">
        <f>('TE BE'!$R$35+'TE BF'!$R$35+'TE CVA'!$R$35)*1</f>
        <v>205.79250926283049</v>
      </c>
      <c r="R35" s="20">
        <f>('TE BE'!$T$35+'TE BF'!$T$35+'TE CVA'!$T$35)*1</f>
        <v>0</v>
      </c>
      <c r="S35" s="20">
        <f>('TE BE'!$U$35+'TE BF'!$U$35+'TE CVA'!$U$35)*1</f>
        <v>0</v>
      </c>
      <c r="T35" s="20">
        <f>('TE BE'!$V$35+'TE BF'!$V$35+'TE CVA'!$V$35)*1</f>
        <v>0</v>
      </c>
      <c r="U35" s="20">
        <f>('TE BE'!$X$35+'TE BF'!$X$35+'TE CVA'!$X$35)*1</f>
        <v>0</v>
      </c>
      <c r="V35" s="20">
        <f>('TE BE'!$Z$35+'TE BF'!$Z$35+'TE CVA'!$Z$35)*1</f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310.49930175958701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</row>
    <row r="36" spans="1:34" ht="11.25" customHeight="1" x14ac:dyDescent="0.3">
      <c r="A36" s="102"/>
      <c r="B36" s="102"/>
      <c r="C36" s="102"/>
      <c r="D36" s="102"/>
      <c r="E36" s="102"/>
      <c r="F36" s="102"/>
      <c r="G36" s="23" t="s">
        <v>80</v>
      </c>
      <c r="H36" s="23" t="s">
        <v>68</v>
      </c>
      <c r="I36" s="23">
        <f>'MERCADO TE'!$U$33</f>
        <v>0</v>
      </c>
      <c r="J36" s="15"/>
      <c r="L36" s="20">
        <f>('TE BE'!$L$36+'TE BF'!$L$36+'TE CVA'!$L$36)*1</f>
        <v>0</v>
      </c>
      <c r="M36" s="20">
        <f>('TE BE'!$M$36+'TE BF'!$M$36+'TE CVA'!$M$36)*1</f>
        <v>15.999596213872602</v>
      </c>
      <c r="N36" s="20">
        <f>('TE BE'!$N$36+'TE BF'!$N$36+'TE CVA'!$N$36)*1</f>
        <v>0</v>
      </c>
      <c r="O36" s="20">
        <f>('TE BE'!$O$36+'TE BF'!$O$36+'TE CVA'!$O$36)*1</f>
        <v>0</v>
      </c>
      <c r="P36" s="20">
        <f>('TE BE'!$P$36+'TE BF'!$P$36+'TE CVA'!$P$36)*1</f>
        <v>0</v>
      </c>
      <c r="Q36" s="20">
        <f>('TE BE'!$R$36+'TE BF'!$R$36+'TE CVA'!$R$36)*1</f>
        <v>205.79250926283049</v>
      </c>
      <c r="R36" s="20">
        <f>('TE BE'!$T$36+'TE BF'!$T$36+'TE CVA'!$T$36)*1</f>
        <v>0</v>
      </c>
      <c r="S36" s="20">
        <f>('TE BE'!$U$36+'TE BF'!$U$36+'TE CVA'!$U$36)*1</f>
        <v>0</v>
      </c>
      <c r="T36" s="20">
        <f>('TE BE'!$V$36+'TE BF'!$V$36+'TE CVA'!$V$36)*1</f>
        <v>0</v>
      </c>
      <c r="U36" s="20">
        <f>('TE BE'!$X$36+'TE BF'!$X$36+'TE CVA'!$X$36)*1</f>
        <v>0</v>
      </c>
      <c r="V36" s="20">
        <f>('TE BE'!$Z$36+'TE BF'!$Z$36+'TE CVA'!$Z$36)*1</f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310.49930175958701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</row>
    <row r="37" spans="1:34" ht="11.25" customHeight="1" x14ac:dyDescent="0.3">
      <c r="A37" s="102"/>
      <c r="B37" s="102"/>
      <c r="C37" s="102"/>
      <c r="D37" s="102"/>
      <c r="E37" s="102"/>
      <c r="F37" s="102"/>
      <c r="G37" s="23" t="s">
        <v>70</v>
      </c>
      <c r="H37" s="23" t="s">
        <v>68</v>
      </c>
      <c r="I37" s="23">
        <f>'MERCADO TE'!$U$34</f>
        <v>0</v>
      </c>
      <c r="J37" s="15"/>
      <c r="L37" s="20">
        <f>('TE BE'!$L$37+'TE BF'!$L$37+'TE CVA'!$L$37)*1</f>
        <v>0</v>
      </c>
      <c r="M37" s="20">
        <f>('TE BE'!$M$37+'TE BF'!$M$37+'TE CVA'!$M$37)*1</f>
        <v>15.999596213872602</v>
      </c>
      <c r="N37" s="20">
        <f>('TE BE'!$N$37+'TE BF'!$N$37+'TE CVA'!$N$37)*1</f>
        <v>0</v>
      </c>
      <c r="O37" s="20">
        <f>('TE BE'!$O$37+'TE BF'!$O$37+'TE CVA'!$O$37)*1</f>
        <v>0</v>
      </c>
      <c r="P37" s="20">
        <f>('TE BE'!$P$37+'TE BF'!$P$37+'TE CVA'!$P$37)*1</f>
        <v>0</v>
      </c>
      <c r="Q37" s="20">
        <f>('TE BE'!$R$37+'TE BF'!$R$37+'TE CVA'!$R$37)*1</f>
        <v>205.79250926283049</v>
      </c>
      <c r="R37" s="20">
        <f>('TE BE'!$T$37+'TE BF'!$T$37+'TE CVA'!$T$37)*1</f>
        <v>0</v>
      </c>
      <c r="S37" s="20">
        <f>('TE BE'!$U$37+'TE BF'!$U$37+'TE CVA'!$U$37)*1</f>
        <v>0</v>
      </c>
      <c r="T37" s="20">
        <f>('TE BE'!$V$37+'TE BF'!$V$37+'TE CVA'!$V$37)*1</f>
        <v>0</v>
      </c>
      <c r="U37" s="20">
        <f>('TE BE'!$X$37+'TE BF'!$X$37+'TE CVA'!$X$37)*1</f>
        <v>0</v>
      </c>
      <c r="V37" s="20">
        <f>('TE BE'!$Z$37+'TE BF'!$Z$37+'TE CVA'!$Z$37)*1</f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310.49930175958701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</row>
    <row r="38" spans="1:34" ht="11.25" customHeight="1" x14ac:dyDescent="0.3">
      <c r="A38" s="102"/>
      <c r="B38" s="22" t="s">
        <v>81</v>
      </c>
      <c r="C38" s="22" t="s">
        <v>25</v>
      </c>
      <c r="D38" s="22" t="s">
        <v>25</v>
      </c>
      <c r="E38" s="22" t="s">
        <v>25</v>
      </c>
      <c r="F38" s="22" t="s">
        <v>25</v>
      </c>
      <c r="G38" s="23" t="s">
        <v>74</v>
      </c>
      <c r="H38" s="23" t="s">
        <v>68</v>
      </c>
      <c r="I38" s="23">
        <f>'MERCADO TE'!$U$35</f>
        <v>321.71000000000004</v>
      </c>
      <c r="J38" s="15"/>
      <c r="L38" s="20">
        <f>('TE BE'!$L$38+'TE BF'!$L$38+'TE CVA'!$L$38)*1</f>
        <v>0</v>
      </c>
      <c r="M38" s="20">
        <f>('TE BE'!$M$38+'TE BF'!$M$38+'TE CVA'!$M$38)*1</f>
        <v>15.999596213872602</v>
      </c>
      <c r="N38" s="20">
        <f>('TE BE'!$N$38+'TE BF'!$N$38+'TE CVA'!$N$38)*1</f>
        <v>0</v>
      </c>
      <c r="O38" s="20">
        <f>('TE BE'!$O$38+'TE BF'!$O$38+'TE CVA'!$O$38)*1</f>
        <v>0</v>
      </c>
      <c r="P38" s="20">
        <f>('TE BE'!$P$38+'TE BF'!$P$38+'TE CVA'!$P$38)*1</f>
        <v>0</v>
      </c>
      <c r="Q38" s="20">
        <f>('TE BE'!$R$38+'TE BF'!$R$38+'TE CVA'!$R$38)*1</f>
        <v>205.79250926283049</v>
      </c>
      <c r="R38" s="20">
        <f>('TE BE'!$T$38+'TE BF'!$T$38+'TE CVA'!$T$38)*1</f>
        <v>0</v>
      </c>
      <c r="S38" s="20">
        <f>('TE BE'!$U$38+'TE BF'!$U$38+'TE CVA'!$U$38)*1</f>
        <v>0</v>
      </c>
      <c r="T38" s="20">
        <f>('TE BE'!$V$38+'TE BF'!$V$38+'TE CVA'!$V$38)*1</f>
        <v>0</v>
      </c>
      <c r="U38" s="20">
        <f>('TE BE'!$X$38+'TE BF'!$X$38+'TE CVA'!$X$38)*1</f>
        <v>0</v>
      </c>
      <c r="V38" s="20">
        <f>('TE BE'!$Z$38+'TE BF'!$Z$38+'TE CVA'!$Z$38)*1</f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310.49930175958701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</row>
    <row r="39" spans="1:34" ht="11.25" customHeight="1" x14ac:dyDescent="0.3">
      <c r="A39" s="102"/>
      <c r="B39" s="22" t="s">
        <v>83</v>
      </c>
      <c r="C39" s="22" t="s">
        <v>25</v>
      </c>
      <c r="D39" s="22" t="s">
        <v>25</v>
      </c>
      <c r="E39" s="22" t="s">
        <v>25</v>
      </c>
      <c r="F39" s="22" t="s">
        <v>25</v>
      </c>
      <c r="G39" s="23" t="s">
        <v>74</v>
      </c>
      <c r="H39" s="23" t="s">
        <v>68</v>
      </c>
      <c r="I39" s="23">
        <f>'MERCADO TE'!$U$36</f>
        <v>0</v>
      </c>
      <c r="J39" s="15"/>
      <c r="L39" s="20">
        <f>('TE BE'!$L$39+'TE BF'!$L$39+'TE CVA'!$L$39)*1</f>
        <v>0</v>
      </c>
      <c r="M39" s="20">
        <f>('TE BE'!$M$39+'TE BF'!$M$39+'TE CVA'!$M$39)*1</f>
        <v>15.999596213872602</v>
      </c>
      <c r="N39" s="20">
        <f>('TE BE'!$N$39+'TE BF'!$N$39+'TE CVA'!$N$39)*1</f>
        <v>0</v>
      </c>
      <c r="O39" s="20">
        <f>('TE BE'!$O$39+'TE BF'!$O$39+'TE CVA'!$O$39)*1</f>
        <v>0</v>
      </c>
      <c r="P39" s="20">
        <f>('TE BE'!$P$39+'TE BF'!$P$39+'TE CVA'!$P$39)*1</f>
        <v>0</v>
      </c>
      <c r="Q39" s="20">
        <f>('TE BE'!$R$39+'TE BF'!$R$39+'TE CVA'!$R$39)*1</f>
        <v>205.79250926283049</v>
      </c>
      <c r="R39" s="20">
        <f>('TE BE'!$T$39+'TE BF'!$T$39+'TE CVA'!$T$39)*1</f>
        <v>0</v>
      </c>
      <c r="S39" s="20">
        <f>('TE BE'!$U$39+'TE BF'!$U$39+'TE CVA'!$U$39)*1</f>
        <v>0</v>
      </c>
      <c r="T39" s="20">
        <f>('TE BE'!$V$39+'TE BF'!$V$39+'TE CVA'!$V$39)*1</f>
        <v>0</v>
      </c>
      <c r="U39" s="20">
        <f>('TE BE'!$X$39+'TE BF'!$X$39+'TE CVA'!$X$39)*1</f>
        <v>0</v>
      </c>
      <c r="V39" s="20">
        <f>('TE BE'!$Z$39+'TE BF'!$Z$39+'TE CVA'!$Z$39)*1</f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310.49930175958701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</row>
    <row r="40" spans="1:34" ht="11.25" customHeight="1" x14ac:dyDescent="0.3">
      <c r="A40" s="102" t="s">
        <v>43</v>
      </c>
      <c r="B40" s="102" t="s">
        <v>81</v>
      </c>
      <c r="C40" s="102" t="s">
        <v>44</v>
      </c>
      <c r="D40" s="22" t="s">
        <v>45</v>
      </c>
      <c r="E40" s="22" t="s">
        <v>25</v>
      </c>
      <c r="F40" s="22" t="s">
        <v>25</v>
      </c>
      <c r="G40" s="23" t="s">
        <v>74</v>
      </c>
      <c r="H40" s="23" t="s">
        <v>68</v>
      </c>
      <c r="I40" s="23">
        <f>'MERCADO TE'!$U$37</f>
        <v>249.66400000000002</v>
      </c>
      <c r="J40" s="15"/>
      <c r="L40" s="20">
        <f>('TE BE'!$L$40+'TE BF'!$L$40+'TE CVA'!$L$40)*1</f>
        <v>0</v>
      </c>
      <c r="M40" s="20">
        <f>('TE BE'!$M$40+'TE BF'!$M$40+'TE CVA'!$M$40)*1</f>
        <v>8.7997779176299318</v>
      </c>
      <c r="N40" s="20">
        <f>('TE BE'!$N$40+'TE BF'!$N$40+'TE CVA'!$N$40)*1</f>
        <v>0</v>
      </c>
      <c r="O40" s="20">
        <f>('TE BE'!$O$40+'TE BF'!$O$40+'TE CVA'!$O$40)*1</f>
        <v>0</v>
      </c>
      <c r="P40" s="20">
        <f>('TE BE'!$P$40+'TE BF'!$P$40+'TE CVA'!$P$40)*1</f>
        <v>0</v>
      </c>
      <c r="Q40" s="20">
        <f>('TE BE'!$R$40+'TE BF'!$R$40+'TE CVA'!$R$40)*1</f>
        <v>113.18588009455678</v>
      </c>
      <c r="R40" s="20">
        <f>('TE BE'!$T$40+'TE BF'!$T$40+'TE CVA'!$T$40)*1</f>
        <v>0</v>
      </c>
      <c r="S40" s="20">
        <f>('TE BE'!$U$40+'TE BF'!$U$40+'TE CVA'!$U$40)*1</f>
        <v>0</v>
      </c>
      <c r="T40" s="20">
        <f>('TE BE'!$V$40+'TE BF'!$V$40+'TE CVA'!$V$40)*1</f>
        <v>0</v>
      </c>
      <c r="U40" s="20">
        <f>('TE BE'!$X$40+'TE BF'!$X$40+'TE CVA'!$X$40)*1</f>
        <v>0</v>
      </c>
      <c r="V40" s="20">
        <f>('TE BE'!$Z$40+'TE BF'!$Z$40+'TE CVA'!$Z$40)*1</f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170.774615967773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</row>
    <row r="41" spans="1:34" ht="11.25" customHeight="1" x14ac:dyDescent="0.3">
      <c r="A41" s="102"/>
      <c r="B41" s="102"/>
      <c r="C41" s="102"/>
      <c r="D41" s="23" t="s">
        <v>87</v>
      </c>
      <c r="E41" s="23" t="s">
        <v>25</v>
      </c>
      <c r="F41" s="23" t="s">
        <v>25</v>
      </c>
      <c r="G41" s="23" t="s">
        <v>74</v>
      </c>
      <c r="H41" s="23" t="s">
        <v>68</v>
      </c>
      <c r="I41" s="23">
        <f>'MERCADO TE'!$U$38</f>
        <v>0</v>
      </c>
      <c r="J41" s="15"/>
      <c r="L41" s="20">
        <f>('TE BE'!$L$41+'TE BF'!$L$41+'TE CVA'!$L$41)*1</f>
        <v>0</v>
      </c>
      <c r="M41" s="20">
        <f>('TE BE'!$M$41+'TE BF'!$M$41+'TE CVA'!$M$41)*1</f>
        <v>9.59975772832356</v>
      </c>
      <c r="N41" s="20">
        <f>('TE BE'!$N$41+'TE BF'!$N$41+'TE CVA'!$N$41)*1</f>
        <v>0</v>
      </c>
      <c r="O41" s="20">
        <f>('TE BE'!$O$41+'TE BF'!$O$41+'TE CVA'!$O$41)*1</f>
        <v>0</v>
      </c>
      <c r="P41" s="20">
        <f>('TE BE'!$P$41+'TE BF'!$P$41+'TE CVA'!$P$41)*1</f>
        <v>0</v>
      </c>
      <c r="Q41" s="20">
        <f>('TE BE'!$R$41+'TE BF'!$R$41+'TE CVA'!$R$41)*1</f>
        <v>123.47550555769828</v>
      </c>
      <c r="R41" s="20">
        <f>('TE BE'!$T$41+'TE BF'!$T$41+'TE CVA'!$T$41)*1</f>
        <v>0</v>
      </c>
      <c r="S41" s="20">
        <f>('TE BE'!$U$41+'TE BF'!$U$41+'TE CVA'!$U$41)*1</f>
        <v>0</v>
      </c>
      <c r="T41" s="20">
        <f>('TE BE'!$V$41+'TE BF'!$V$41+'TE CVA'!$V$41)*1</f>
        <v>0</v>
      </c>
      <c r="U41" s="20">
        <f>('TE BE'!$X$41+'TE BF'!$X$41+'TE CVA'!$X$41)*1</f>
        <v>0</v>
      </c>
      <c r="V41" s="20">
        <f>('TE BE'!$Z$41+'TE BF'!$Z$41+'TE CVA'!$Z$41)*1</f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186.29958105575199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</row>
    <row r="43" spans="1:34" ht="11.25" customHeight="1" x14ac:dyDescent="0.3">
      <c r="L43" s="99" t="s">
        <v>840</v>
      </c>
      <c r="M43" s="99"/>
      <c r="N43" s="99"/>
      <c r="O43" s="99"/>
      <c r="P43" s="99"/>
      <c r="Q43" s="99"/>
      <c r="R43" s="99"/>
      <c r="S43" s="99"/>
      <c r="T43" s="99"/>
      <c r="U43" s="99"/>
      <c r="V43" s="99"/>
      <c r="X43" s="99" t="s">
        <v>841</v>
      </c>
      <c r="Y43" s="99"/>
      <c r="Z43" s="99"/>
      <c r="AA43" s="99"/>
      <c r="AB43" s="99"/>
      <c r="AC43" s="99"/>
      <c r="AD43" s="99"/>
      <c r="AE43" s="99"/>
      <c r="AF43" s="99"/>
      <c r="AG43" s="99"/>
      <c r="AH43" s="99"/>
    </row>
    <row r="44" spans="1:34" ht="11.25" customHeight="1" x14ac:dyDescent="0.3">
      <c r="L44" s="99" t="s">
        <v>395</v>
      </c>
      <c r="M44" s="99"/>
      <c r="N44" s="99"/>
      <c r="O44" s="99"/>
      <c r="P44" s="99"/>
      <c r="Q44" s="99"/>
      <c r="R44" s="99"/>
      <c r="S44" s="99"/>
      <c r="T44" s="99"/>
      <c r="U44" s="99"/>
      <c r="V44" s="99"/>
      <c r="X44" s="99" t="s">
        <v>395</v>
      </c>
      <c r="Y44" s="99"/>
      <c r="Z44" s="99"/>
      <c r="AA44" s="99"/>
      <c r="AB44" s="99"/>
      <c r="AC44" s="99"/>
      <c r="AD44" s="99"/>
      <c r="AE44" s="99"/>
      <c r="AF44" s="99"/>
      <c r="AG44" s="99"/>
      <c r="AH44" s="99"/>
    </row>
    <row r="45" spans="1:34" ht="11.25" customHeight="1" x14ac:dyDescent="0.3">
      <c r="L45" s="99" t="s">
        <v>368</v>
      </c>
      <c r="M45" s="99"/>
      <c r="N45" s="99"/>
      <c r="O45" s="99"/>
      <c r="P45" s="99"/>
      <c r="Q45" s="24" t="s">
        <v>399</v>
      </c>
      <c r="R45" s="99" t="s">
        <v>377</v>
      </c>
      <c r="S45" s="99"/>
      <c r="T45" s="99"/>
      <c r="U45" s="24" t="s">
        <v>387</v>
      </c>
      <c r="V45" s="24" t="s">
        <v>390</v>
      </c>
      <c r="X45" s="99" t="s">
        <v>368</v>
      </c>
      <c r="Y45" s="99"/>
      <c r="Z45" s="99"/>
      <c r="AA45" s="99"/>
      <c r="AB45" s="99"/>
      <c r="AC45" s="24" t="s">
        <v>399</v>
      </c>
      <c r="AD45" s="99" t="s">
        <v>377</v>
      </c>
      <c r="AE45" s="99"/>
      <c r="AF45" s="99"/>
      <c r="AG45" s="24" t="s">
        <v>387</v>
      </c>
      <c r="AH45" s="24" t="s">
        <v>390</v>
      </c>
    </row>
    <row r="46" spans="1:34" ht="11.25" customHeight="1" x14ac:dyDescent="0.3">
      <c r="L46" s="24" t="s">
        <v>370</v>
      </c>
      <c r="M46" s="24" t="s">
        <v>396</v>
      </c>
      <c r="N46" s="24" t="s">
        <v>397</v>
      </c>
      <c r="O46" s="24" t="s">
        <v>456</v>
      </c>
      <c r="P46" s="24" t="s">
        <v>398</v>
      </c>
      <c r="Q46" s="24" t="s">
        <v>400</v>
      </c>
      <c r="R46" s="24" t="s">
        <v>401</v>
      </c>
      <c r="S46" s="24" t="s">
        <v>402</v>
      </c>
      <c r="T46" s="24" t="s">
        <v>403</v>
      </c>
      <c r="U46" s="24" t="s">
        <v>388</v>
      </c>
      <c r="V46" s="24" t="s">
        <v>404</v>
      </c>
      <c r="X46" s="24" t="s">
        <v>370</v>
      </c>
      <c r="Y46" s="24" t="s">
        <v>396</v>
      </c>
      <c r="Z46" s="24" t="s">
        <v>397</v>
      </c>
      <c r="AA46" s="24" t="s">
        <v>456</v>
      </c>
      <c r="AB46" s="24" t="s">
        <v>398</v>
      </c>
      <c r="AC46" s="24" t="s">
        <v>400</v>
      </c>
      <c r="AD46" s="24" t="s">
        <v>401</v>
      </c>
      <c r="AE46" s="24" t="s">
        <v>402</v>
      </c>
      <c r="AF46" s="24" t="s">
        <v>403</v>
      </c>
      <c r="AG46" s="24" t="s">
        <v>388</v>
      </c>
      <c r="AH46" s="24" t="s">
        <v>404</v>
      </c>
    </row>
    <row r="47" spans="1:34" ht="11.25" customHeight="1" x14ac:dyDescent="0.3">
      <c r="A47" s="9" t="s">
        <v>33</v>
      </c>
      <c r="B47" s="9" t="s">
        <v>842</v>
      </c>
      <c r="C47" s="9" t="s">
        <v>843</v>
      </c>
      <c r="D47" s="9" t="s">
        <v>844</v>
      </c>
      <c r="E47" s="9" t="s">
        <v>845</v>
      </c>
      <c r="F47" s="9" t="s">
        <v>846</v>
      </c>
      <c r="G47" s="9" t="s">
        <v>847</v>
      </c>
      <c r="L47" s="20">
        <f>$I$5*$L$5</f>
        <v>0</v>
      </c>
      <c r="M47" s="20">
        <f>$I$5*$M$5</f>
        <v>14680.701499174442</v>
      </c>
      <c r="N47" s="20">
        <f>$I$5*$N$5</f>
        <v>0</v>
      </c>
      <c r="O47" s="20">
        <f>$I$5*$O$5</f>
        <v>0</v>
      </c>
      <c r="P47" s="20">
        <f>$I$5*$P$5</f>
        <v>0</v>
      </c>
      <c r="Q47" s="20">
        <f>$I$5*$Q$5</f>
        <v>188828.41534676758</v>
      </c>
      <c r="R47" s="20">
        <f>$I$5*$R$5</f>
        <v>0</v>
      </c>
      <c r="S47" s="20">
        <f>$I$5*$S$5</f>
        <v>0</v>
      </c>
      <c r="T47" s="20">
        <f>$I$5*$T$5</f>
        <v>0</v>
      </c>
      <c r="U47" s="20">
        <f>$I$5*$U$5</f>
        <v>0</v>
      </c>
      <c r="V47" s="20">
        <f>$I$5*$V$5</f>
        <v>0</v>
      </c>
      <c r="X47" s="20">
        <f>$I$5*$X$5</f>
        <v>0</v>
      </c>
      <c r="Y47" s="20">
        <f>$I$5*$Y$5</f>
        <v>0</v>
      </c>
      <c r="Z47" s="20">
        <f>$I$5*$Z$5</f>
        <v>0</v>
      </c>
      <c r="AA47" s="20">
        <f>$I$5*$AA$5</f>
        <v>0</v>
      </c>
      <c r="AB47" s="20">
        <f>$I$5*$AB$5</f>
        <v>0</v>
      </c>
      <c r="AC47" s="20">
        <f>$I$5*$AC$5</f>
        <v>284903.91281763901</v>
      </c>
      <c r="AD47" s="20">
        <f>$I$5*$AD$5</f>
        <v>0</v>
      </c>
      <c r="AE47" s="20">
        <f>$I$5*$AE$5</f>
        <v>0</v>
      </c>
      <c r="AF47" s="20">
        <f>$I$5*$AF$5</f>
        <v>0</v>
      </c>
      <c r="AG47" s="20">
        <f>$I$5*$AG$5</f>
        <v>0</v>
      </c>
      <c r="AH47" s="20">
        <f>$I$5*$AH$5</f>
        <v>0</v>
      </c>
    </row>
    <row r="48" spans="1:34" ht="11.25" customHeight="1" x14ac:dyDescent="0.3">
      <c r="A48" s="9" t="s">
        <v>33</v>
      </c>
      <c r="B48" s="9" t="s">
        <v>842</v>
      </c>
      <c r="C48" s="9" t="s">
        <v>843</v>
      </c>
      <c r="D48" s="9" t="s">
        <v>844</v>
      </c>
      <c r="E48" s="9" t="s">
        <v>845</v>
      </c>
      <c r="F48" s="9" t="s">
        <v>846</v>
      </c>
      <c r="G48" s="9" t="s">
        <v>848</v>
      </c>
      <c r="L48" s="20">
        <f>$I$6*$L$6</f>
        <v>0</v>
      </c>
      <c r="M48" s="20">
        <f>$I$6*$M$6</f>
        <v>165436.5288336761</v>
      </c>
      <c r="N48" s="20">
        <f>$I$6*$N$6</f>
        <v>0</v>
      </c>
      <c r="O48" s="20">
        <f>$I$6*$O$6</f>
        <v>0</v>
      </c>
      <c r="P48" s="20">
        <f>$I$6*$P$6</f>
        <v>0</v>
      </c>
      <c r="Q48" s="20">
        <f>$I$6*$Q$6</f>
        <v>2127903.6006480749</v>
      </c>
      <c r="R48" s="20">
        <f>$I$6*$R$6</f>
        <v>0</v>
      </c>
      <c r="S48" s="20">
        <f>$I$6*$S$6</f>
        <v>0</v>
      </c>
      <c r="T48" s="20">
        <f>$I$6*$T$6</f>
        <v>0</v>
      </c>
      <c r="U48" s="20">
        <f>$I$6*$U$6</f>
        <v>0</v>
      </c>
      <c r="V48" s="20">
        <f>$I$6*$V$6</f>
        <v>0</v>
      </c>
      <c r="X48" s="20">
        <f>$I$6*$X$6</f>
        <v>0</v>
      </c>
      <c r="Y48" s="20">
        <f>$I$6*$Y$6</f>
        <v>0</v>
      </c>
      <c r="Z48" s="20">
        <f>$I$6*$Z$6</f>
        <v>0</v>
      </c>
      <c r="AA48" s="20">
        <f>$I$6*$AA$6</f>
        <v>0</v>
      </c>
      <c r="AB48" s="20">
        <f>$I$6*$AB$6</f>
        <v>0</v>
      </c>
      <c r="AC48" s="20">
        <f>$I$6*$AC$6</f>
        <v>3210576.4421634069</v>
      </c>
      <c r="AD48" s="20">
        <f>$I$6*$AD$6</f>
        <v>0</v>
      </c>
      <c r="AE48" s="20">
        <f>$I$6*$AE$6</f>
        <v>0</v>
      </c>
      <c r="AF48" s="20">
        <f>$I$6*$AF$6</f>
        <v>0</v>
      </c>
      <c r="AG48" s="20">
        <f>$I$6*$AG$6</f>
        <v>0</v>
      </c>
      <c r="AH48" s="20">
        <f>$I$6*$AH$6</f>
        <v>0</v>
      </c>
    </row>
    <row r="49" spans="1:34" ht="11.25" customHeight="1" x14ac:dyDescent="0.3">
      <c r="A49" s="9" t="s">
        <v>22</v>
      </c>
      <c r="B49" s="9" t="s">
        <v>849</v>
      </c>
      <c r="C49" s="9" t="s">
        <v>850</v>
      </c>
      <c r="D49" s="9" t="s">
        <v>851</v>
      </c>
      <c r="E49" s="9" t="s">
        <v>852</v>
      </c>
      <c r="F49" s="9" t="s">
        <v>853</v>
      </c>
      <c r="G49" s="9" t="s">
        <v>854</v>
      </c>
      <c r="L49" s="20">
        <f>$I$7*$L$7</f>
        <v>0</v>
      </c>
      <c r="M49" s="20">
        <f>$I$7*$M$7</f>
        <v>0</v>
      </c>
      <c r="N49" s="20">
        <f>$I$7*$N$7</f>
        <v>0</v>
      </c>
      <c r="O49" s="20">
        <f>$I$7*$O$7</f>
        <v>0</v>
      </c>
      <c r="P49" s="20">
        <f>$I$7*$P$7</f>
        <v>0</v>
      </c>
      <c r="Q49" s="20">
        <f>$I$7*$Q$7</f>
        <v>0</v>
      </c>
      <c r="R49" s="20">
        <f>$I$7*$R$7</f>
        <v>0</v>
      </c>
      <c r="S49" s="20">
        <f>$I$7*$S$7</f>
        <v>0</v>
      </c>
      <c r="T49" s="20">
        <f>$I$7*$T$7</f>
        <v>0</v>
      </c>
      <c r="U49" s="20">
        <f>$I$7*$U$7</f>
        <v>0</v>
      </c>
      <c r="V49" s="20">
        <f>$I$7*$V$7</f>
        <v>0</v>
      </c>
      <c r="X49" s="20">
        <f>$I$7*$X$7</f>
        <v>0</v>
      </c>
      <c r="Y49" s="20">
        <f>$I$7*$Y$7</f>
        <v>0</v>
      </c>
      <c r="Z49" s="20">
        <f>$I$7*$Z$7</f>
        <v>0</v>
      </c>
      <c r="AA49" s="20">
        <f>$I$7*$AA$7</f>
        <v>0</v>
      </c>
      <c r="AB49" s="20">
        <f>$I$7*$AB$7</f>
        <v>0</v>
      </c>
      <c r="AC49" s="20">
        <f>$I$7*$AC$7</f>
        <v>0</v>
      </c>
      <c r="AD49" s="20">
        <f>$I$7*$AD$7</f>
        <v>0</v>
      </c>
      <c r="AE49" s="20">
        <f>$I$7*$AE$7</f>
        <v>0</v>
      </c>
      <c r="AF49" s="20">
        <f>$I$7*$AF$7</f>
        <v>0</v>
      </c>
      <c r="AG49" s="20">
        <f>$I$7*$AG$7</f>
        <v>0</v>
      </c>
      <c r="AH49" s="20">
        <f>$I$7*$AH$7</f>
        <v>0</v>
      </c>
    </row>
    <row r="50" spans="1:34" ht="11.25" customHeight="1" x14ac:dyDescent="0.3">
      <c r="A50" s="9" t="s">
        <v>22</v>
      </c>
      <c r="B50" s="9" t="s">
        <v>849</v>
      </c>
      <c r="C50" s="9" t="s">
        <v>850</v>
      </c>
      <c r="D50" s="9" t="s">
        <v>851</v>
      </c>
      <c r="E50" s="9" t="s">
        <v>852</v>
      </c>
      <c r="F50" s="9" t="s">
        <v>853</v>
      </c>
      <c r="G50" s="9" t="s">
        <v>855</v>
      </c>
      <c r="L50" s="20">
        <f>$I$8*$L$8</f>
        <v>0</v>
      </c>
      <c r="M50" s="20">
        <f>$I$8*$M$8</f>
        <v>0</v>
      </c>
      <c r="N50" s="20">
        <f>$I$8*$N$8</f>
        <v>0</v>
      </c>
      <c r="O50" s="20">
        <f>$I$8*$O$8</f>
        <v>0</v>
      </c>
      <c r="P50" s="20">
        <f>$I$8*$P$8</f>
        <v>0</v>
      </c>
      <c r="Q50" s="20">
        <f>$I$8*$Q$8</f>
        <v>0</v>
      </c>
      <c r="R50" s="20">
        <f>$I$8*$R$8</f>
        <v>0</v>
      </c>
      <c r="S50" s="20">
        <f>$I$8*$S$8</f>
        <v>0</v>
      </c>
      <c r="T50" s="20">
        <f>$I$8*$T$8</f>
        <v>0</v>
      </c>
      <c r="U50" s="20">
        <f>$I$8*$U$8</f>
        <v>0</v>
      </c>
      <c r="V50" s="20">
        <f>$I$8*$V$8</f>
        <v>0</v>
      </c>
      <c r="X50" s="20">
        <f>$I$8*$X$8</f>
        <v>0</v>
      </c>
      <c r="Y50" s="20">
        <f>$I$8*$Y$8</f>
        <v>0</v>
      </c>
      <c r="Z50" s="20">
        <f>$I$8*$Z$8</f>
        <v>0</v>
      </c>
      <c r="AA50" s="20">
        <f>$I$8*$AA$8</f>
        <v>0</v>
      </c>
      <c r="AB50" s="20">
        <f>$I$8*$AB$8</f>
        <v>0</v>
      </c>
      <c r="AC50" s="20">
        <f>$I$8*$AC$8</f>
        <v>0</v>
      </c>
      <c r="AD50" s="20">
        <f>$I$8*$AD$8</f>
        <v>0</v>
      </c>
      <c r="AE50" s="20">
        <f>$I$8*$AE$8</f>
        <v>0</v>
      </c>
      <c r="AF50" s="20">
        <f>$I$8*$AF$8</f>
        <v>0</v>
      </c>
      <c r="AG50" s="20">
        <f>$I$8*$AG$8</f>
        <v>0</v>
      </c>
      <c r="AH50" s="20">
        <f>$I$8*$AH$8</f>
        <v>0</v>
      </c>
    </row>
    <row r="51" spans="1:34" ht="11.25" customHeight="1" x14ac:dyDescent="0.3">
      <c r="A51" s="9" t="s">
        <v>22</v>
      </c>
      <c r="B51" s="9" t="s">
        <v>849</v>
      </c>
      <c r="C51" s="9" t="s">
        <v>850</v>
      </c>
      <c r="D51" s="9" t="s">
        <v>851</v>
      </c>
      <c r="E51" s="9" t="s">
        <v>852</v>
      </c>
      <c r="F51" s="9" t="s">
        <v>853</v>
      </c>
      <c r="G51" s="9" t="s">
        <v>856</v>
      </c>
      <c r="L51" s="20">
        <f>$I$9*$L$9</f>
        <v>0</v>
      </c>
      <c r="M51" s="20">
        <f>$I$9*$M$9</f>
        <v>0</v>
      </c>
      <c r="N51" s="20">
        <f>$I$9*$N$9</f>
        <v>0</v>
      </c>
      <c r="O51" s="20">
        <f>$I$9*$O$9</f>
        <v>0</v>
      </c>
      <c r="P51" s="20">
        <f>$I$9*$P$9</f>
        <v>0</v>
      </c>
      <c r="Q51" s="20">
        <f>$I$9*$Q$9</f>
        <v>0</v>
      </c>
      <c r="R51" s="20">
        <f>$I$9*$R$9</f>
        <v>0</v>
      </c>
      <c r="S51" s="20">
        <f>$I$9*$S$9</f>
        <v>0</v>
      </c>
      <c r="T51" s="20">
        <f>$I$9*$T$9</f>
        <v>0</v>
      </c>
      <c r="U51" s="20">
        <f>$I$9*$U$9</f>
        <v>0</v>
      </c>
      <c r="V51" s="20">
        <f>$I$9*$V$9</f>
        <v>0</v>
      </c>
      <c r="X51" s="20">
        <f>$I$9*$X$9</f>
        <v>0</v>
      </c>
      <c r="Y51" s="20">
        <f>$I$9*$Y$9</f>
        <v>0</v>
      </c>
      <c r="Z51" s="20">
        <f>$I$9*$Z$9</f>
        <v>0</v>
      </c>
      <c r="AA51" s="20">
        <f>$I$9*$AA$9</f>
        <v>0</v>
      </c>
      <c r="AB51" s="20">
        <f>$I$9*$AB$9</f>
        <v>0</v>
      </c>
      <c r="AC51" s="20">
        <f>$I$9*$AC$9</f>
        <v>0</v>
      </c>
      <c r="AD51" s="20">
        <f>$I$9*$AD$9</f>
        <v>0</v>
      </c>
      <c r="AE51" s="20">
        <f>$I$9*$AE$9</f>
        <v>0</v>
      </c>
      <c r="AF51" s="20">
        <f>$I$9*$AF$9</f>
        <v>0</v>
      </c>
      <c r="AG51" s="20">
        <f>$I$9*$AG$9</f>
        <v>0</v>
      </c>
      <c r="AH51" s="20">
        <f>$I$9*$AH$9</f>
        <v>0</v>
      </c>
    </row>
    <row r="52" spans="1:34" ht="11.25" customHeight="1" x14ac:dyDescent="0.3">
      <c r="A52" s="9" t="s">
        <v>22</v>
      </c>
      <c r="B52" s="9" t="s">
        <v>857</v>
      </c>
      <c r="C52" s="9" t="s">
        <v>858</v>
      </c>
      <c r="D52" s="9" t="s">
        <v>859</v>
      </c>
      <c r="E52" s="9" t="s">
        <v>860</v>
      </c>
      <c r="F52" s="9" t="s">
        <v>861</v>
      </c>
      <c r="G52" s="9" t="s">
        <v>862</v>
      </c>
      <c r="L52" s="20">
        <f>$I$10*$L$10</f>
        <v>0</v>
      </c>
      <c r="M52" s="20">
        <f>$I$10*$M$10</f>
        <v>6948.4326405303036</v>
      </c>
      <c r="N52" s="20">
        <f>$I$10*$N$10</f>
        <v>0</v>
      </c>
      <c r="O52" s="20">
        <f>$I$10*$O$10</f>
        <v>0</v>
      </c>
      <c r="P52" s="20">
        <f>$I$10*$P$10</f>
        <v>0</v>
      </c>
      <c r="Q52" s="20">
        <f>$I$10*$Q$10</f>
        <v>89373.217262736114</v>
      </c>
      <c r="R52" s="20">
        <f>$I$10*$R$10</f>
        <v>0</v>
      </c>
      <c r="S52" s="20">
        <f>$I$10*$S$10</f>
        <v>0</v>
      </c>
      <c r="T52" s="20">
        <f>$I$10*$T$10</f>
        <v>0</v>
      </c>
      <c r="U52" s="20">
        <f>$I$10*$U$10</f>
        <v>0</v>
      </c>
      <c r="V52" s="20">
        <f>$I$10*$V$10</f>
        <v>0</v>
      </c>
      <c r="X52" s="20">
        <f>$I$10*$X$10</f>
        <v>0</v>
      </c>
      <c r="Y52" s="20">
        <f>$I$10*$Y$10</f>
        <v>0</v>
      </c>
      <c r="Z52" s="20">
        <f>$I$10*$Z$10</f>
        <v>0</v>
      </c>
      <c r="AA52" s="20">
        <f>$I$10*$AA$10</f>
        <v>0</v>
      </c>
      <c r="AB52" s="20">
        <f>$I$10*$AB$10</f>
        <v>0</v>
      </c>
      <c r="AC52" s="20">
        <f>$I$10*$AC$10</f>
        <v>134846.1207625675</v>
      </c>
      <c r="AD52" s="20">
        <f>$I$10*$AD$10</f>
        <v>0</v>
      </c>
      <c r="AE52" s="20">
        <f>$I$10*$AE$10</f>
        <v>0</v>
      </c>
      <c r="AF52" s="20">
        <f>$I$10*$AF$10</f>
        <v>0</v>
      </c>
      <c r="AG52" s="20">
        <f>$I$10*$AG$10</f>
        <v>0</v>
      </c>
      <c r="AH52" s="20">
        <f>$I$10*$AH$10</f>
        <v>0</v>
      </c>
    </row>
    <row r="53" spans="1:34" ht="11.25" customHeight="1" x14ac:dyDescent="0.3">
      <c r="A53" s="9" t="s">
        <v>22</v>
      </c>
      <c r="B53" s="9" t="s">
        <v>857</v>
      </c>
      <c r="C53" s="9" t="s">
        <v>858</v>
      </c>
      <c r="D53" s="9" t="s">
        <v>863</v>
      </c>
      <c r="E53" s="9" t="s">
        <v>864</v>
      </c>
      <c r="F53" s="9" t="s">
        <v>865</v>
      </c>
      <c r="G53" s="9" t="s">
        <v>866</v>
      </c>
      <c r="L53" s="20">
        <f>$I$11*$L$11</f>
        <v>0</v>
      </c>
      <c r="M53" s="20">
        <f>$I$11*$M$11</f>
        <v>13.271665059407322</v>
      </c>
      <c r="N53" s="20">
        <f>$I$11*$N$11</f>
        <v>0</v>
      </c>
      <c r="O53" s="20">
        <f>$I$11*$O$11</f>
        <v>0</v>
      </c>
      <c r="P53" s="20">
        <f>$I$11*$P$11</f>
        <v>0</v>
      </c>
      <c r="Q53" s="20">
        <f>$I$11*$Q$11</f>
        <v>170.70488643351788</v>
      </c>
      <c r="R53" s="20">
        <f>$I$11*$R$11</f>
        <v>0</v>
      </c>
      <c r="S53" s="20">
        <f>$I$11*$S$11</f>
        <v>0</v>
      </c>
      <c r="T53" s="20">
        <f>$I$11*$T$11</f>
        <v>0</v>
      </c>
      <c r="U53" s="20">
        <f>$I$11*$U$11</f>
        <v>0</v>
      </c>
      <c r="V53" s="20">
        <f>$I$11*$V$11</f>
        <v>0</v>
      </c>
      <c r="X53" s="20">
        <f>$I$11*$X$11</f>
        <v>0</v>
      </c>
      <c r="Y53" s="20">
        <f>$I$11*$Y$11</f>
        <v>0</v>
      </c>
      <c r="Z53" s="20">
        <f>$I$11*$Z$11</f>
        <v>0</v>
      </c>
      <c r="AA53" s="20">
        <f>$I$11*$AA$11</f>
        <v>0</v>
      </c>
      <c r="AB53" s="20">
        <f>$I$11*$AB$11</f>
        <v>0</v>
      </c>
      <c r="AC53" s="20">
        <f>$I$11*$AC$11</f>
        <v>257.55917080957636</v>
      </c>
      <c r="AD53" s="20">
        <f>$I$11*$AD$11</f>
        <v>0</v>
      </c>
      <c r="AE53" s="20">
        <f>$I$11*$AE$11</f>
        <v>0</v>
      </c>
      <c r="AF53" s="20">
        <f>$I$11*$AF$11</f>
        <v>0</v>
      </c>
      <c r="AG53" s="20">
        <f>$I$11*$AG$11</f>
        <v>0</v>
      </c>
      <c r="AH53" s="20">
        <f>$I$11*$AH$11</f>
        <v>0</v>
      </c>
    </row>
    <row r="54" spans="1:34" ht="11.25" customHeight="1" x14ac:dyDescent="0.3">
      <c r="A54" s="9" t="s">
        <v>22</v>
      </c>
      <c r="B54" s="9" t="s">
        <v>857</v>
      </c>
      <c r="C54" s="9" t="s">
        <v>858</v>
      </c>
      <c r="D54" s="9" t="s">
        <v>867</v>
      </c>
      <c r="E54" s="9" t="s">
        <v>868</v>
      </c>
      <c r="F54" s="9" t="s">
        <v>869</v>
      </c>
      <c r="G54" s="9" t="s">
        <v>870</v>
      </c>
      <c r="L54" s="20">
        <f>$I$12*$L$12</f>
        <v>0</v>
      </c>
      <c r="M54" s="20">
        <f>$I$12*$M$12</f>
        <v>41.538151690456047</v>
      </c>
      <c r="N54" s="20">
        <f>$I$12*$N$12</f>
        <v>0</v>
      </c>
      <c r="O54" s="20">
        <f>$I$12*$O$12</f>
        <v>0</v>
      </c>
      <c r="P54" s="20">
        <f>$I$12*$P$12</f>
        <v>0</v>
      </c>
      <c r="Q54" s="20">
        <f>$I$12*$Q$12</f>
        <v>534.27851254816051</v>
      </c>
      <c r="R54" s="20">
        <f>$I$12*$R$12</f>
        <v>0</v>
      </c>
      <c r="S54" s="20">
        <f>$I$12*$S$12</f>
        <v>0</v>
      </c>
      <c r="T54" s="20">
        <f>$I$12*$T$12</f>
        <v>0</v>
      </c>
      <c r="U54" s="20">
        <f>$I$12*$U$12</f>
        <v>0</v>
      </c>
      <c r="V54" s="20">
        <f>$I$12*$V$12</f>
        <v>0</v>
      </c>
      <c r="X54" s="20">
        <f>$I$12*$X$12</f>
        <v>0</v>
      </c>
      <c r="Y54" s="20">
        <f>$I$12*$Y$12</f>
        <v>0</v>
      </c>
      <c r="Z54" s="20">
        <f>$I$12*$Z$12</f>
        <v>0</v>
      </c>
      <c r="AA54" s="20">
        <f>$I$12*$AA$12</f>
        <v>0</v>
      </c>
      <c r="AB54" s="20">
        <f>$I$12*$AB$12</f>
        <v>0</v>
      </c>
      <c r="AC54" s="20">
        <f>$I$12*$AC$12</f>
        <v>806.11828722823884</v>
      </c>
      <c r="AD54" s="20">
        <f>$I$12*$AD$12</f>
        <v>0</v>
      </c>
      <c r="AE54" s="20">
        <f>$I$12*$AE$12</f>
        <v>0</v>
      </c>
      <c r="AF54" s="20">
        <f>$I$12*$AF$12</f>
        <v>0</v>
      </c>
      <c r="AG54" s="20">
        <f>$I$12*$AG$12</f>
        <v>0</v>
      </c>
      <c r="AH54" s="20">
        <f>$I$12*$AH$12</f>
        <v>0</v>
      </c>
    </row>
    <row r="55" spans="1:34" ht="11.25" customHeight="1" x14ac:dyDescent="0.3">
      <c r="A55" s="9" t="s">
        <v>22</v>
      </c>
      <c r="B55" s="9" t="s">
        <v>857</v>
      </c>
      <c r="C55" s="9" t="s">
        <v>858</v>
      </c>
      <c r="D55" s="9" t="s">
        <v>871</v>
      </c>
      <c r="E55" s="9" t="s">
        <v>872</v>
      </c>
      <c r="F55" s="9" t="s">
        <v>873</v>
      </c>
      <c r="G55" s="9" t="s">
        <v>874</v>
      </c>
      <c r="L55" s="20">
        <f>$I$13*$L$13</f>
        <v>0</v>
      </c>
      <c r="M55" s="20">
        <f>$I$13*$M$13</f>
        <v>83.417094780267576</v>
      </c>
      <c r="N55" s="20">
        <f>$I$13*$N$13</f>
        <v>0</v>
      </c>
      <c r="O55" s="20">
        <f>$I$13*$O$13</f>
        <v>0</v>
      </c>
      <c r="P55" s="20">
        <f>$I$13*$P$13</f>
        <v>0</v>
      </c>
      <c r="Q55" s="20">
        <f>$I$13*$Q$13</f>
        <v>1072.9404055436194</v>
      </c>
      <c r="R55" s="20">
        <f>$I$13*$R$13</f>
        <v>0</v>
      </c>
      <c r="S55" s="20">
        <f>$I$13*$S$13</f>
        <v>0</v>
      </c>
      <c r="T55" s="20">
        <f>$I$13*$T$13</f>
        <v>0</v>
      </c>
      <c r="U55" s="20">
        <f>$I$13*$U$13</f>
        <v>0</v>
      </c>
      <c r="V55" s="20">
        <f>$I$13*$V$13</f>
        <v>0</v>
      </c>
      <c r="X55" s="20">
        <f>$I$13*$X$13</f>
        <v>0</v>
      </c>
      <c r="Y55" s="20">
        <f>$I$13*$Y$13</f>
        <v>0</v>
      </c>
      <c r="Z55" s="20">
        <f>$I$13*$Z$13</f>
        <v>0</v>
      </c>
      <c r="AA55" s="20">
        <f>$I$13*$AA$13</f>
        <v>0</v>
      </c>
      <c r="AB55" s="20">
        <f>$I$13*$AB$13</f>
        <v>0</v>
      </c>
      <c r="AC55" s="20">
        <f>$I$13*$AC$13</f>
        <v>1618.8502095839569</v>
      </c>
      <c r="AD55" s="20">
        <f>$I$13*$AD$13</f>
        <v>0</v>
      </c>
      <c r="AE55" s="20">
        <f>$I$13*$AE$13</f>
        <v>0</v>
      </c>
      <c r="AF55" s="20">
        <f>$I$13*$AF$13</f>
        <v>0</v>
      </c>
      <c r="AG55" s="20">
        <f>$I$13*$AG$13</f>
        <v>0</v>
      </c>
      <c r="AH55" s="20">
        <f>$I$13*$AH$13</f>
        <v>0</v>
      </c>
    </row>
    <row r="56" spans="1:34" ht="11.25" customHeight="1" x14ac:dyDescent="0.3">
      <c r="A56" s="9" t="s">
        <v>22</v>
      </c>
      <c r="B56" s="9" t="s">
        <v>857</v>
      </c>
      <c r="C56" s="9" t="s">
        <v>858</v>
      </c>
      <c r="D56" s="9" t="s">
        <v>875</v>
      </c>
      <c r="E56" s="9" t="s">
        <v>876</v>
      </c>
      <c r="F56" s="9" t="s">
        <v>877</v>
      </c>
      <c r="G56" s="9" t="s">
        <v>878</v>
      </c>
      <c r="L56" s="20">
        <f>$I$14*$L$14</f>
        <v>0</v>
      </c>
      <c r="M56" s="20">
        <f>$I$14*$M$14</f>
        <v>33.583152452918597</v>
      </c>
      <c r="N56" s="20">
        <f>$I$14*$N$14</f>
        <v>0</v>
      </c>
      <c r="O56" s="20">
        <f>$I$14*$O$14</f>
        <v>0</v>
      </c>
      <c r="P56" s="20">
        <f>$I$14*$P$14</f>
        <v>0</v>
      </c>
      <c r="Q56" s="20">
        <f>$I$14*$Q$14</f>
        <v>431.95847694268127</v>
      </c>
      <c r="R56" s="20">
        <f>$I$14*$R$14</f>
        <v>0</v>
      </c>
      <c r="S56" s="20">
        <f>$I$14*$S$14</f>
        <v>0</v>
      </c>
      <c r="T56" s="20">
        <f>$I$14*$T$14</f>
        <v>0</v>
      </c>
      <c r="U56" s="20">
        <f>$I$14*$U$14</f>
        <v>0</v>
      </c>
      <c r="V56" s="20">
        <f>$I$14*$V$14</f>
        <v>0</v>
      </c>
      <c r="X56" s="20">
        <f>$I$14*$X$14</f>
        <v>0</v>
      </c>
      <c r="Y56" s="20">
        <f>$I$14*$Y$14</f>
        <v>0</v>
      </c>
      <c r="Z56" s="20">
        <f>$I$14*$Z$14</f>
        <v>0</v>
      </c>
      <c r="AA56" s="20">
        <f>$I$14*$AA$14</f>
        <v>0</v>
      </c>
      <c r="AB56" s="20">
        <f>$I$14*$AB$14</f>
        <v>0</v>
      </c>
      <c r="AC56" s="20">
        <f>$I$14*$AC$14</f>
        <v>651.73803439337325</v>
      </c>
      <c r="AD56" s="20">
        <f>$I$14*$AD$14</f>
        <v>0</v>
      </c>
      <c r="AE56" s="20">
        <f>$I$14*$AE$14</f>
        <v>0</v>
      </c>
      <c r="AF56" s="20">
        <f>$I$14*$AF$14</f>
        <v>0</v>
      </c>
      <c r="AG56" s="20">
        <f>$I$14*$AG$14</f>
        <v>0</v>
      </c>
      <c r="AH56" s="20">
        <f>$I$14*$AH$14</f>
        <v>0</v>
      </c>
    </row>
    <row r="57" spans="1:34" ht="11.25" customHeight="1" x14ac:dyDescent="0.3">
      <c r="A57" s="9" t="s">
        <v>22</v>
      </c>
      <c r="B57" s="9" t="s">
        <v>879</v>
      </c>
      <c r="C57" s="9" t="s">
        <v>880</v>
      </c>
      <c r="D57" s="9" t="s">
        <v>881</v>
      </c>
      <c r="E57" s="9" t="s">
        <v>882</v>
      </c>
      <c r="F57" s="9" t="s">
        <v>883</v>
      </c>
      <c r="G57" s="9" t="s">
        <v>884</v>
      </c>
      <c r="L57" s="20">
        <f>$I$15*$L$15</f>
        <v>0</v>
      </c>
      <c r="M57" s="20">
        <f>$I$15*$M$15</f>
        <v>0</v>
      </c>
      <c r="N57" s="20">
        <f>$I$15*$N$15</f>
        <v>0</v>
      </c>
      <c r="O57" s="20">
        <f>$I$15*$O$15</f>
        <v>0</v>
      </c>
      <c r="P57" s="20">
        <f>$I$15*$P$15</f>
        <v>0</v>
      </c>
      <c r="Q57" s="20">
        <f>$I$15*$Q$15</f>
        <v>0</v>
      </c>
      <c r="R57" s="20">
        <f>$I$15*$R$15</f>
        <v>0</v>
      </c>
      <c r="S57" s="20">
        <f>$I$15*$S$15</f>
        <v>0</v>
      </c>
      <c r="T57" s="20">
        <f>$I$15*$T$15</f>
        <v>0</v>
      </c>
      <c r="U57" s="20">
        <f>$I$15*$U$15</f>
        <v>0</v>
      </c>
      <c r="V57" s="20">
        <f>$I$15*$V$15</f>
        <v>0</v>
      </c>
      <c r="X57" s="20">
        <f>$I$15*$X$15</f>
        <v>0</v>
      </c>
      <c r="Y57" s="20">
        <f>$I$15*$Y$15</f>
        <v>0</v>
      </c>
      <c r="Z57" s="20">
        <f>$I$15*$Z$15</f>
        <v>0</v>
      </c>
      <c r="AA57" s="20">
        <f>$I$15*$AA$15</f>
        <v>0</v>
      </c>
      <c r="AB57" s="20">
        <f>$I$15*$AB$15</f>
        <v>0</v>
      </c>
      <c r="AC57" s="20">
        <f>$I$15*$AC$15</f>
        <v>0</v>
      </c>
      <c r="AD57" s="20">
        <f>$I$15*$AD$15</f>
        <v>0</v>
      </c>
      <c r="AE57" s="20">
        <f>$I$15*$AE$15</f>
        <v>0</v>
      </c>
      <c r="AF57" s="20">
        <f>$I$15*$AF$15</f>
        <v>0</v>
      </c>
      <c r="AG57" s="20">
        <f>$I$15*$AG$15</f>
        <v>0</v>
      </c>
      <c r="AH57" s="20">
        <f>$I$15*$AH$15</f>
        <v>0</v>
      </c>
    </row>
    <row r="58" spans="1:34" ht="11.25" customHeight="1" x14ac:dyDescent="0.3">
      <c r="A58" s="9" t="s">
        <v>22</v>
      </c>
      <c r="B58" s="9" t="s">
        <v>879</v>
      </c>
      <c r="C58" s="9" t="s">
        <v>880</v>
      </c>
      <c r="D58" s="9" t="s">
        <v>885</v>
      </c>
      <c r="E58" s="9" t="s">
        <v>886</v>
      </c>
      <c r="F58" s="9" t="s">
        <v>887</v>
      </c>
      <c r="G58" s="9" t="s">
        <v>888</v>
      </c>
      <c r="L58" s="20">
        <f>$I$16*$L$16</f>
        <v>0</v>
      </c>
      <c r="M58" s="20">
        <f>$I$16*$M$16</f>
        <v>0</v>
      </c>
      <c r="N58" s="20">
        <f>$I$16*$N$16</f>
        <v>0</v>
      </c>
      <c r="O58" s="20">
        <f>$I$16*$O$16</f>
        <v>0</v>
      </c>
      <c r="P58" s="20">
        <f>$I$16*$P$16</f>
        <v>0</v>
      </c>
      <c r="Q58" s="20">
        <f>$I$16*$Q$16</f>
        <v>0</v>
      </c>
      <c r="R58" s="20">
        <f>$I$16*$R$16</f>
        <v>0</v>
      </c>
      <c r="S58" s="20">
        <f>$I$16*$S$16</f>
        <v>0</v>
      </c>
      <c r="T58" s="20">
        <f>$I$16*$T$16</f>
        <v>0</v>
      </c>
      <c r="U58" s="20">
        <f>$I$16*$U$16</f>
        <v>0</v>
      </c>
      <c r="V58" s="20">
        <f>$I$16*$V$16</f>
        <v>0</v>
      </c>
      <c r="X58" s="20">
        <f>$I$16*$X$16</f>
        <v>0</v>
      </c>
      <c r="Y58" s="20">
        <f>$I$16*$Y$16</f>
        <v>0</v>
      </c>
      <c r="Z58" s="20">
        <f>$I$16*$Z$16</f>
        <v>0</v>
      </c>
      <c r="AA58" s="20">
        <f>$I$16*$AA$16</f>
        <v>0</v>
      </c>
      <c r="AB58" s="20">
        <f>$I$16*$AB$16</f>
        <v>0</v>
      </c>
      <c r="AC58" s="20">
        <f>$I$16*$AC$16</f>
        <v>0</v>
      </c>
      <c r="AD58" s="20">
        <f>$I$16*$AD$16</f>
        <v>0</v>
      </c>
      <c r="AE58" s="20">
        <f>$I$16*$AE$16</f>
        <v>0</v>
      </c>
      <c r="AF58" s="20">
        <f>$I$16*$AF$16</f>
        <v>0</v>
      </c>
      <c r="AG58" s="20">
        <f>$I$16*$AG$16</f>
        <v>0</v>
      </c>
      <c r="AH58" s="20">
        <f>$I$16*$AH$16</f>
        <v>0</v>
      </c>
    </row>
    <row r="59" spans="1:34" ht="11.25" customHeight="1" x14ac:dyDescent="0.3">
      <c r="A59" s="9" t="s">
        <v>22</v>
      </c>
      <c r="B59" s="9" t="s">
        <v>879</v>
      </c>
      <c r="C59" s="9" t="s">
        <v>880</v>
      </c>
      <c r="D59" s="9" t="s">
        <v>889</v>
      </c>
      <c r="E59" s="9" t="s">
        <v>890</v>
      </c>
      <c r="F59" s="9" t="s">
        <v>891</v>
      </c>
      <c r="G59" s="9" t="s">
        <v>892</v>
      </c>
      <c r="L59" s="20">
        <f>$I$17*$L$17</f>
        <v>0</v>
      </c>
      <c r="M59" s="20">
        <f>$I$17*$M$17</f>
        <v>0</v>
      </c>
      <c r="N59" s="20">
        <f>$I$17*$N$17</f>
        <v>0</v>
      </c>
      <c r="O59" s="20">
        <f>$I$17*$O$17</f>
        <v>0</v>
      </c>
      <c r="P59" s="20">
        <f>$I$17*$P$17</f>
        <v>0</v>
      </c>
      <c r="Q59" s="20">
        <f>$I$17*$Q$17</f>
        <v>0</v>
      </c>
      <c r="R59" s="20">
        <f>$I$17*$R$17</f>
        <v>0</v>
      </c>
      <c r="S59" s="20">
        <f>$I$17*$S$17</f>
        <v>0</v>
      </c>
      <c r="T59" s="20">
        <f>$I$17*$T$17</f>
        <v>0</v>
      </c>
      <c r="U59" s="20">
        <f>$I$17*$U$17</f>
        <v>0</v>
      </c>
      <c r="V59" s="20">
        <f>$I$17*$V$17</f>
        <v>0</v>
      </c>
      <c r="X59" s="20">
        <f>$I$17*$X$17</f>
        <v>0</v>
      </c>
      <c r="Y59" s="20">
        <f>$I$17*$Y$17</f>
        <v>0</v>
      </c>
      <c r="Z59" s="20">
        <f>$I$17*$Z$17</f>
        <v>0</v>
      </c>
      <c r="AA59" s="20">
        <f>$I$17*$AA$17</f>
        <v>0</v>
      </c>
      <c r="AB59" s="20">
        <f>$I$17*$AB$17</f>
        <v>0</v>
      </c>
      <c r="AC59" s="20">
        <f>$I$17*$AC$17</f>
        <v>0</v>
      </c>
      <c r="AD59" s="20">
        <f>$I$17*$AD$17</f>
        <v>0</v>
      </c>
      <c r="AE59" s="20">
        <f>$I$17*$AE$17</f>
        <v>0</v>
      </c>
      <c r="AF59" s="20">
        <f>$I$17*$AF$17</f>
        <v>0</v>
      </c>
      <c r="AG59" s="20">
        <f>$I$17*$AG$17</f>
        <v>0</v>
      </c>
      <c r="AH59" s="20">
        <f>$I$17*$AH$17</f>
        <v>0</v>
      </c>
    </row>
    <row r="60" spans="1:34" ht="11.25" customHeight="1" x14ac:dyDescent="0.3">
      <c r="A60" s="9" t="s">
        <v>22</v>
      </c>
      <c r="B60" s="9" t="s">
        <v>879</v>
      </c>
      <c r="C60" s="9" t="s">
        <v>880</v>
      </c>
      <c r="D60" s="9" t="s">
        <v>893</v>
      </c>
      <c r="E60" s="9" t="s">
        <v>894</v>
      </c>
      <c r="F60" s="9" t="s">
        <v>895</v>
      </c>
      <c r="G60" s="9" t="s">
        <v>896</v>
      </c>
      <c r="L60" s="20">
        <f>$I$18*$L$18</f>
        <v>0</v>
      </c>
      <c r="M60" s="20">
        <f>$I$18*$M$18</f>
        <v>0</v>
      </c>
      <c r="N60" s="20">
        <f>$I$18*$N$18</f>
        <v>0</v>
      </c>
      <c r="O60" s="20">
        <f>$I$18*$O$18</f>
        <v>0</v>
      </c>
      <c r="P60" s="20">
        <f>$I$18*$P$18</f>
        <v>0</v>
      </c>
      <c r="Q60" s="20">
        <f>$I$18*$Q$18</f>
        <v>0</v>
      </c>
      <c r="R60" s="20">
        <f>$I$18*$R$18</f>
        <v>0</v>
      </c>
      <c r="S60" s="20">
        <f>$I$18*$S$18</f>
        <v>0</v>
      </c>
      <c r="T60" s="20">
        <f>$I$18*$T$18</f>
        <v>0</v>
      </c>
      <c r="U60" s="20">
        <f>$I$18*$U$18</f>
        <v>0</v>
      </c>
      <c r="V60" s="20">
        <f>$I$18*$V$18</f>
        <v>0</v>
      </c>
      <c r="X60" s="20">
        <f>$I$18*$X$18</f>
        <v>0</v>
      </c>
      <c r="Y60" s="20">
        <f>$I$18*$Y$18</f>
        <v>0</v>
      </c>
      <c r="Z60" s="20">
        <f>$I$18*$Z$18</f>
        <v>0</v>
      </c>
      <c r="AA60" s="20">
        <f>$I$18*$AA$18</f>
        <v>0</v>
      </c>
      <c r="AB60" s="20">
        <f>$I$18*$AB$18</f>
        <v>0</v>
      </c>
      <c r="AC60" s="20">
        <f>$I$18*$AC$18</f>
        <v>0</v>
      </c>
      <c r="AD60" s="20">
        <f>$I$18*$AD$18</f>
        <v>0</v>
      </c>
      <c r="AE60" s="20">
        <f>$I$18*$AE$18</f>
        <v>0</v>
      </c>
      <c r="AF60" s="20">
        <f>$I$18*$AF$18</f>
        <v>0</v>
      </c>
      <c r="AG60" s="20">
        <f>$I$18*$AG$18</f>
        <v>0</v>
      </c>
      <c r="AH60" s="20">
        <f>$I$18*$AH$18</f>
        <v>0</v>
      </c>
    </row>
    <row r="61" spans="1:34" ht="11.25" customHeight="1" x14ac:dyDescent="0.3">
      <c r="A61" s="9" t="s">
        <v>22</v>
      </c>
      <c r="B61" s="9" t="s">
        <v>879</v>
      </c>
      <c r="C61" s="9" t="s">
        <v>880</v>
      </c>
      <c r="D61" s="9" t="s">
        <v>897</v>
      </c>
      <c r="E61" s="9" t="s">
        <v>898</v>
      </c>
      <c r="F61" s="9" t="s">
        <v>899</v>
      </c>
      <c r="G61" s="9" t="s">
        <v>900</v>
      </c>
      <c r="L61" s="20">
        <f>$I$19*$L$19</f>
        <v>0</v>
      </c>
      <c r="M61" s="20">
        <f>$I$19*$M$19</f>
        <v>0</v>
      </c>
      <c r="N61" s="20">
        <f>$I$19*$N$19</f>
        <v>0</v>
      </c>
      <c r="O61" s="20">
        <f>$I$19*$O$19</f>
        <v>0</v>
      </c>
      <c r="P61" s="20">
        <f>$I$19*$P$19</f>
        <v>0</v>
      </c>
      <c r="Q61" s="20">
        <f>$I$19*$Q$19</f>
        <v>0</v>
      </c>
      <c r="R61" s="20">
        <f>$I$19*$R$19</f>
        <v>0</v>
      </c>
      <c r="S61" s="20">
        <f>$I$19*$S$19</f>
        <v>0</v>
      </c>
      <c r="T61" s="20">
        <f>$I$19*$T$19</f>
        <v>0</v>
      </c>
      <c r="U61" s="20">
        <f>$I$19*$U$19</f>
        <v>0</v>
      </c>
      <c r="V61" s="20">
        <f>$I$19*$V$19</f>
        <v>0</v>
      </c>
      <c r="X61" s="20">
        <f>$I$19*$X$19</f>
        <v>0</v>
      </c>
      <c r="Y61" s="20">
        <f>$I$19*$Y$19</f>
        <v>0</v>
      </c>
      <c r="Z61" s="20">
        <f>$I$19*$Z$19</f>
        <v>0</v>
      </c>
      <c r="AA61" s="20">
        <f>$I$19*$AA$19</f>
        <v>0</v>
      </c>
      <c r="AB61" s="20">
        <f>$I$19*$AB$19</f>
        <v>0</v>
      </c>
      <c r="AC61" s="20">
        <f>$I$19*$AC$19</f>
        <v>0</v>
      </c>
      <c r="AD61" s="20">
        <f>$I$19*$AD$19</f>
        <v>0</v>
      </c>
      <c r="AE61" s="20">
        <f>$I$19*$AE$19</f>
        <v>0</v>
      </c>
      <c r="AF61" s="20">
        <f>$I$19*$AF$19</f>
        <v>0</v>
      </c>
      <c r="AG61" s="20">
        <f>$I$19*$AG$19</f>
        <v>0</v>
      </c>
      <c r="AH61" s="20">
        <f>$I$19*$AH$19</f>
        <v>0</v>
      </c>
    </row>
    <row r="62" spans="1:34" ht="11.25" customHeight="1" x14ac:dyDescent="0.3">
      <c r="A62" s="9" t="s">
        <v>39</v>
      </c>
      <c r="B62" s="9" t="s">
        <v>901</v>
      </c>
      <c r="C62" s="9" t="s">
        <v>902</v>
      </c>
      <c r="D62" s="9" t="s">
        <v>903</v>
      </c>
      <c r="E62" s="9" t="s">
        <v>904</v>
      </c>
      <c r="F62" s="9" t="s">
        <v>905</v>
      </c>
      <c r="G62" s="9" t="s">
        <v>906</v>
      </c>
      <c r="L62" s="20">
        <f>$I$20*$L$20</f>
        <v>0</v>
      </c>
      <c r="M62" s="20">
        <f>$I$20*$M$20</f>
        <v>0</v>
      </c>
      <c r="N62" s="20">
        <f>$I$20*$N$20</f>
        <v>0</v>
      </c>
      <c r="O62" s="20">
        <f>$I$20*$O$20</f>
        <v>0</v>
      </c>
      <c r="P62" s="20">
        <f>$I$20*$P$20</f>
        <v>0</v>
      </c>
      <c r="Q62" s="20">
        <f>$I$20*$Q$20</f>
        <v>0</v>
      </c>
      <c r="R62" s="20">
        <f>$I$20*$R$20</f>
        <v>0</v>
      </c>
      <c r="S62" s="20">
        <f>$I$20*$S$20</f>
        <v>0</v>
      </c>
      <c r="T62" s="20">
        <f>$I$20*$T$20</f>
        <v>0</v>
      </c>
      <c r="U62" s="20">
        <f>$I$20*$U$20</f>
        <v>0</v>
      </c>
      <c r="V62" s="20">
        <f>$I$20*$V$20</f>
        <v>0</v>
      </c>
      <c r="X62" s="20">
        <f>$I$20*$X$20</f>
        <v>0</v>
      </c>
      <c r="Y62" s="20">
        <f>$I$20*$Y$20</f>
        <v>0</v>
      </c>
      <c r="Z62" s="20">
        <f>$I$20*$Z$20</f>
        <v>0</v>
      </c>
      <c r="AA62" s="20">
        <f>$I$20*$AA$20</f>
        <v>0</v>
      </c>
      <c r="AB62" s="20">
        <f>$I$20*$AB$20</f>
        <v>0</v>
      </c>
      <c r="AC62" s="20">
        <f>$I$20*$AC$20</f>
        <v>0</v>
      </c>
      <c r="AD62" s="20">
        <f>$I$20*$AD$20</f>
        <v>0</v>
      </c>
      <c r="AE62" s="20">
        <f>$I$20*$AE$20</f>
        <v>0</v>
      </c>
      <c r="AF62" s="20">
        <f>$I$20*$AF$20</f>
        <v>0</v>
      </c>
      <c r="AG62" s="20">
        <f>$I$20*$AG$20</f>
        <v>0</v>
      </c>
      <c r="AH62" s="20">
        <f>$I$20*$AH$20</f>
        <v>0</v>
      </c>
    </row>
    <row r="63" spans="1:34" ht="11.25" customHeight="1" x14ac:dyDescent="0.3">
      <c r="A63" s="9" t="s">
        <v>39</v>
      </c>
      <c r="B63" s="9" t="s">
        <v>901</v>
      </c>
      <c r="C63" s="9" t="s">
        <v>902</v>
      </c>
      <c r="D63" s="9" t="s">
        <v>903</v>
      </c>
      <c r="E63" s="9" t="s">
        <v>904</v>
      </c>
      <c r="F63" s="9" t="s">
        <v>905</v>
      </c>
      <c r="G63" s="9" t="s">
        <v>907</v>
      </c>
      <c r="L63" s="20">
        <f>$I$21*$L$21</f>
        <v>0</v>
      </c>
      <c r="M63" s="20">
        <f>$I$21*$M$21</f>
        <v>0</v>
      </c>
      <c r="N63" s="20">
        <f>$I$21*$N$21</f>
        <v>0</v>
      </c>
      <c r="O63" s="20">
        <f>$I$21*$O$21</f>
        <v>0</v>
      </c>
      <c r="P63" s="20">
        <f>$I$21*$P$21</f>
        <v>0</v>
      </c>
      <c r="Q63" s="20">
        <f>$I$21*$Q$21</f>
        <v>0</v>
      </c>
      <c r="R63" s="20">
        <f>$I$21*$R$21</f>
        <v>0</v>
      </c>
      <c r="S63" s="20">
        <f>$I$21*$S$21</f>
        <v>0</v>
      </c>
      <c r="T63" s="20">
        <f>$I$21*$T$21</f>
        <v>0</v>
      </c>
      <c r="U63" s="20">
        <f>$I$21*$U$21</f>
        <v>0</v>
      </c>
      <c r="V63" s="20">
        <f>$I$21*$V$21</f>
        <v>0</v>
      </c>
      <c r="X63" s="20">
        <f>$I$21*$X$21</f>
        <v>0</v>
      </c>
      <c r="Y63" s="20">
        <f>$I$21*$Y$21</f>
        <v>0</v>
      </c>
      <c r="Z63" s="20">
        <f>$I$21*$Z$21</f>
        <v>0</v>
      </c>
      <c r="AA63" s="20">
        <f>$I$21*$AA$21</f>
        <v>0</v>
      </c>
      <c r="AB63" s="20">
        <f>$I$21*$AB$21</f>
        <v>0</v>
      </c>
      <c r="AC63" s="20">
        <f>$I$21*$AC$21</f>
        <v>0</v>
      </c>
      <c r="AD63" s="20">
        <f>$I$21*$AD$21</f>
        <v>0</v>
      </c>
      <c r="AE63" s="20">
        <f>$I$21*$AE$21</f>
        <v>0</v>
      </c>
      <c r="AF63" s="20">
        <f>$I$21*$AF$21</f>
        <v>0</v>
      </c>
      <c r="AG63" s="20">
        <f>$I$21*$AG$21</f>
        <v>0</v>
      </c>
      <c r="AH63" s="20">
        <f>$I$21*$AH$21</f>
        <v>0</v>
      </c>
    </row>
    <row r="64" spans="1:34" ht="11.25" customHeight="1" x14ac:dyDescent="0.3">
      <c r="A64" s="9" t="s">
        <v>39</v>
      </c>
      <c r="B64" s="9" t="s">
        <v>901</v>
      </c>
      <c r="C64" s="9" t="s">
        <v>902</v>
      </c>
      <c r="D64" s="9" t="s">
        <v>903</v>
      </c>
      <c r="E64" s="9" t="s">
        <v>904</v>
      </c>
      <c r="F64" s="9" t="s">
        <v>905</v>
      </c>
      <c r="G64" s="9" t="s">
        <v>908</v>
      </c>
      <c r="L64" s="20">
        <f>$I$22*$L$22</f>
        <v>0</v>
      </c>
      <c r="M64" s="20">
        <f>$I$22*$M$22</f>
        <v>0</v>
      </c>
      <c r="N64" s="20">
        <f>$I$22*$N$22</f>
        <v>0</v>
      </c>
      <c r="O64" s="20">
        <f>$I$22*$O$22</f>
        <v>0</v>
      </c>
      <c r="P64" s="20">
        <f>$I$22*$P$22</f>
        <v>0</v>
      </c>
      <c r="Q64" s="20">
        <f>$I$22*$Q$22</f>
        <v>0</v>
      </c>
      <c r="R64" s="20">
        <f>$I$22*$R$22</f>
        <v>0</v>
      </c>
      <c r="S64" s="20">
        <f>$I$22*$S$22</f>
        <v>0</v>
      </c>
      <c r="T64" s="20">
        <f>$I$22*$T$22</f>
        <v>0</v>
      </c>
      <c r="U64" s="20">
        <f>$I$22*$U$22</f>
        <v>0</v>
      </c>
      <c r="V64" s="20">
        <f>$I$22*$V$22</f>
        <v>0</v>
      </c>
      <c r="X64" s="20">
        <f>$I$22*$X$22</f>
        <v>0</v>
      </c>
      <c r="Y64" s="20">
        <f>$I$22*$Y$22</f>
        <v>0</v>
      </c>
      <c r="Z64" s="20">
        <f>$I$22*$Z$22</f>
        <v>0</v>
      </c>
      <c r="AA64" s="20">
        <f>$I$22*$AA$22</f>
        <v>0</v>
      </c>
      <c r="AB64" s="20">
        <f>$I$22*$AB$22</f>
        <v>0</v>
      </c>
      <c r="AC64" s="20">
        <f>$I$22*$AC$22</f>
        <v>0</v>
      </c>
      <c r="AD64" s="20">
        <f>$I$22*$AD$22</f>
        <v>0</v>
      </c>
      <c r="AE64" s="20">
        <f>$I$22*$AE$22</f>
        <v>0</v>
      </c>
      <c r="AF64" s="20">
        <f>$I$22*$AF$22</f>
        <v>0</v>
      </c>
      <c r="AG64" s="20">
        <f>$I$22*$AG$22</f>
        <v>0</v>
      </c>
      <c r="AH64" s="20">
        <f>$I$22*$AH$22</f>
        <v>0</v>
      </c>
    </row>
    <row r="65" spans="1:34" ht="11.25" customHeight="1" x14ac:dyDescent="0.3">
      <c r="A65" s="9" t="s">
        <v>39</v>
      </c>
      <c r="B65" s="9" t="s">
        <v>909</v>
      </c>
      <c r="C65" s="9" t="s">
        <v>910</v>
      </c>
      <c r="D65" s="9" t="s">
        <v>911</v>
      </c>
      <c r="E65" s="9" t="s">
        <v>912</v>
      </c>
      <c r="F65" s="9" t="s">
        <v>913</v>
      </c>
      <c r="G65" s="9" t="s">
        <v>914</v>
      </c>
      <c r="L65" s="20">
        <f>$I$23*$L$23</f>
        <v>0</v>
      </c>
      <c r="M65" s="20">
        <f>$I$23*$M$23</f>
        <v>86223.211801535057</v>
      </c>
      <c r="N65" s="20">
        <f>$I$23*$N$23</f>
        <v>0</v>
      </c>
      <c r="O65" s="20">
        <f>$I$23*$O$23</f>
        <v>0</v>
      </c>
      <c r="P65" s="20">
        <f>$I$23*$P$23</f>
        <v>0</v>
      </c>
      <c r="Q65" s="20">
        <f>$I$23*$Q$23</f>
        <v>1109033.6828596471</v>
      </c>
      <c r="R65" s="20">
        <f>$I$23*$R$23</f>
        <v>0</v>
      </c>
      <c r="S65" s="20">
        <f>$I$23*$S$23</f>
        <v>0</v>
      </c>
      <c r="T65" s="20">
        <f>$I$23*$T$23</f>
        <v>0</v>
      </c>
      <c r="U65" s="20">
        <f>$I$23*$U$23</f>
        <v>0</v>
      </c>
      <c r="V65" s="20">
        <f>$I$23*$V$23</f>
        <v>0</v>
      </c>
      <c r="X65" s="20">
        <f>$I$23*$X$23</f>
        <v>0</v>
      </c>
      <c r="Y65" s="20">
        <f>$I$23*$Y$23</f>
        <v>0</v>
      </c>
      <c r="Z65" s="20">
        <f>$I$23*$Z$23</f>
        <v>0</v>
      </c>
      <c r="AA65" s="20">
        <f>$I$23*$AA$23</f>
        <v>0</v>
      </c>
      <c r="AB65" s="20">
        <f>$I$23*$AB$23</f>
        <v>0</v>
      </c>
      <c r="AC65" s="20">
        <f>$I$23*$AC$23</f>
        <v>1566500.7973455579</v>
      </c>
      <c r="AD65" s="20">
        <f>$I$23*$AD$23</f>
        <v>0</v>
      </c>
      <c r="AE65" s="20">
        <f>$I$23*$AE$23</f>
        <v>0</v>
      </c>
      <c r="AF65" s="20">
        <f>$I$23*$AF$23</f>
        <v>0</v>
      </c>
      <c r="AG65" s="20">
        <f>$I$23*$AG$23</f>
        <v>0</v>
      </c>
      <c r="AH65" s="20">
        <f>$I$23*$AH$23</f>
        <v>0</v>
      </c>
    </row>
    <row r="66" spans="1:34" ht="11.25" customHeight="1" x14ac:dyDescent="0.3">
      <c r="A66" s="9" t="s">
        <v>39</v>
      </c>
      <c r="B66" s="9" t="s">
        <v>901</v>
      </c>
      <c r="C66" s="9" t="s">
        <v>902</v>
      </c>
      <c r="D66" s="9" t="s">
        <v>915</v>
      </c>
      <c r="E66" s="9" t="s">
        <v>916</v>
      </c>
      <c r="F66" s="9" t="s">
        <v>917</v>
      </c>
      <c r="G66" s="9" t="s">
        <v>918</v>
      </c>
      <c r="L66" s="20">
        <f>$I$24*$L$24</f>
        <v>0</v>
      </c>
      <c r="M66" s="20">
        <f>$I$24*$M$24</f>
        <v>0</v>
      </c>
      <c r="N66" s="20">
        <f>$I$24*$N$24</f>
        <v>0</v>
      </c>
      <c r="O66" s="20">
        <f>$I$24*$O$24</f>
        <v>0</v>
      </c>
      <c r="P66" s="20">
        <f>$I$24*$P$24</f>
        <v>0</v>
      </c>
      <c r="Q66" s="20">
        <f>$I$24*$Q$24</f>
        <v>0</v>
      </c>
      <c r="R66" s="20">
        <f>$I$24*$R$24</f>
        <v>0</v>
      </c>
      <c r="S66" s="20">
        <f>$I$24*$S$24</f>
        <v>0</v>
      </c>
      <c r="T66" s="20">
        <f>$I$24*$T$24</f>
        <v>0</v>
      </c>
      <c r="U66" s="20">
        <f>$I$24*$U$24</f>
        <v>0</v>
      </c>
      <c r="V66" s="20">
        <f>$I$24*$V$24</f>
        <v>0</v>
      </c>
      <c r="X66" s="20">
        <f>$I$24*$X$24</f>
        <v>0</v>
      </c>
      <c r="Y66" s="20">
        <f>$I$24*$Y$24</f>
        <v>0</v>
      </c>
      <c r="Z66" s="20">
        <f>$I$24*$Z$24</f>
        <v>0</v>
      </c>
      <c r="AA66" s="20">
        <f>$I$24*$AA$24</f>
        <v>0</v>
      </c>
      <c r="AB66" s="20">
        <f>$I$24*$AB$24</f>
        <v>0</v>
      </c>
      <c r="AC66" s="20">
        <f>$I$24*$AC$24</f>
        <v>0</v>
      </c>
      <c r="AD66" s="20">
        <f>$I$24*$AD$24</f>
        <v>0</v>
      </c>
      <c r="AE66" s="20">
        <f>$I$24*$AE$24</f>
        <v>0</v>
      </c>
      <c r="AF66" s="20">
        <f>$I$24*$AF$24</f>
        <v>0</v>
      </c>
      <c r="AG66" s="20">
        <f>$I$24*$AG$24</f>
        <v>0</v>
      </c>
      <c r="AH66" s="20">
        <f>$I$24*$AH$24</f>
        <v>0</v>
      </c>
    </row>
    <row r="67" spans="1:34" ht="11.25" customHeight="1" x14ac:dyDescent="0.3">
      <c r="A67" s="9" t="s">
        <v>39</v>
      </c>
      <c r="B67" s="9" t="s">
        <v>901</v>
      </c>
      <c r="C67" s="9" t="s">
        <v>902</v>
      </c>
      <c r="D67" s="9" t="s">
        <v>915</v>
      </c>
      <c r="E67" s="9" t="s">
        <v>916</v>
      </c>
      <c r="F67" s="9" t="s">
        <v>917</v>
      </c>
      <c r="G67" s="9" t="s">
        <v>919</v>
      </c>
      <c r="L67" s="20">
        <f>$I$25*$L$25</f>
        <v>0</v>
      </c>
      <c r="M67" s="20">
        <f>$I$25*$M$25</f>
        <v>0</v>
      </c>
      <c r="N67" s="20">
        <f>$I$25*$N$25</f>
        <v>0</v>
      </c>
      <c r="O67" s="20">
        <f>$I$25*$O$25</f>
        <v>0</v>
      </c>
      <c r="P67" s="20">
        <f>$I$25*$P$25</f>
        <v>0</v>
      </c>
      <c r="Q67" s="20">
        <f>$I$25*$Q$25</f>
        <v>0</v>
      </c>
      <c r="R67" s="20">
        <f>$I$25*$R$25</f>
        <v>0</v>
      </c>
      <c r="S67" s="20">
        <f>$I$25*$S$25</f>
        <v>0</v>
      </c>
      <c r="T67" s="20">
        <f>$I$25*$T$25</f>
        <v>0</v>
      </c>
      <c r="U67" s="20">
        <f>$I$25*$U$25</f>
        <v>0</v>
      </c>
      <c r="V67" s="20">
        <f>$I$25*$V$25</f>
        <v>0</v>
      </c>
      <c r="X67" s="20">
        <f>$I$25*$X$25</f>
        <v>0</v>
      </c>
      <c r="Y67" s="20">
        <f>$I$25*$Y$25</f>
        <v>0</v>
      </c>
      <c r="Z67" s="20">
        <f>$I$25*$Z$25</f>
        <v>0</v>
      </c>
      <c r="AA67" s="20">
        <f>$I$25*$AA$25</f>
        <v>0</v>
      </c>
      <c r="AB67" s="20">
        <f>$I$25*$AB$25</f>
        <v>0</v>
      </c>
      <c r="AC67" s="20">
        <f>$I$25*$AC$25</f>
        <v>0</v>
      </c>
      <c r="AD67" s="20">
        <f>$I$25*$AD$25</f>
        <v>0</v>
      </c>
      <c r="AE67" s="20">
        <f>$I$25*$AE$25</f>
        <v>0</v>
      </c>
      <c r="AF67" s="20">
        <f>$I$25*$AF$25</f>
        <v>0</v>
      </c>
      <c r="AG67" s="20">
        <f>$I$25*$AG$25</f>
        <v>0</v>
      </c>
      <c r="AH67" s="20">
        <f>$I$25*$AH$25</f>
        <v>0</v>
      </c>
    </row>
    <row r="68" spans="1:34" ht="11.25" customHeight="1" x14ac:dyDescent="0.3">
      <c r="A68" s="9" t="s">
        <v>39</v>
      </c>
      <c r="B68" s="9" t="s">
        <v>901</v>
      </c>
      <c r="C68" s="9" t="s">
        <v>902</v>
      </c>
      <c r="D68" s="9" t="s">
        <v>915</v>
      </c>
      <c r="E68" s="9" t="s">
        <v>916</v>
      </c>
      <c r="F68" s="9" t="s">
        <v>917</v>
      </c>
      <c r="G68" s="9" t="s">
        <v>920</v>
      </c>
      <c r="L68" s="20">
        <f>$I$26*$L$26</f>
        <v>0</v>
      </c>
      <c r="M68" s="20">
        <f>$I$26*$M$26</f>
        <v>0</v>
      </c>
      <c r="N68" s="20">
        <f>$I$26*$N$26</f>
        <v>0</v>
      </c>
      <c r="O68" s="20">
        <f>$I$26*$O$26</f>
        <v>0</v>
      </c>
      <c r="P68" s="20">
        <f>$I$26*$P$26</f>
        <v>0</v>
      </c>
      <c r="Q68" s="20">
        <f>$I$26*$Q$26</f>
        <v>0</v>
      </c>
      <c r="R68" s="20">
        <f>$I$26*$R$26</f>
        <v>0</v>
      </c>
      <c r="S68" s="20">
        <f>$I$26*$S$26</f>
        <v>0</v>
      </c>
      <c r="T68" s="20">
        <f>$I$26*$T$26</f>
        <v>0</v>
      </c>
      <c r="U68" s="20">
        <f>$I$26*$U$26</f>
        <v>0</v>
      </c>
      <c r="V68" s="20">
        <f>$I$26*$V$26</f>
        <v>0</v>
      </c>
      <c r="X68" s="20">
        <f>$I$26*$X$26</f>
        <v>0</v>
      </c>
      <c r="Y68" s="20">
        <f>$I$26*$Y$26</f>
        <v>0</v>
      </c>
      <c r="Z68" s="20">
        <f>$I$26*$Z$26</f>
        <v>0</v>
      </c>
      <c r="AA68" s="20">
        <f>$I$26*$AA$26</f>
        <v>0</v>
      </c>
      <c r="AB68" s="20">
        <f>$I$26*$AB$26</f>
        <v>0</v>
      </c>
      <c r="AC68" s="20">
        <f>$I$26*$AC$26</f>
        <v>0</v>
      </c>
      <c r="AD68" s="20">
        <f>$I$26*$AD$26</f>
        <v>0</v>
      </c>
      <c r="AE68" s="20">
        <f>$I$26*$AE$26</f>
        <v>0</v>
      </c>
      <c r="AF68" s="20">
        <f>$I$26*$AF$26</f>
        <v>0</v>
      </c>
      <c r="AG68" s="20">
        <f>$I$26*$AG$26</f>
        <v>0</v>
      </c>
      <c r="AH68" s="20">
        <f>$I$26*$AH$26</f>
        <v>0</v>
      </c>
    </row>
    <row r="69" spans="1:34" ht="11.25" customHeight="1" x14ac:dyDescent="0.3">
      <c r="A69" s="9" t="s">
        <v>39</v>
      </c>
      <c r="B69" s="9" t="s">
        <v>909</v>
      </c>
      <c r="C69" s="9" t="s">
        <v>910</v>
      </c>
      <c r="D69" s="9" t="s">
        <v>921</v>
      </c>
      <c r="E69" s="9" t="s">
        <v>922</v>
      </c>
      <c r="F69" s="9" t="s">
        <v>923</v>
      </c>
      <c r="G69" s="9" t="s">
        <v>924</v>
      </c>
      <c r="L69" s="20">
        <f>$I$27*$L$27</f>
        <v>0</v>
      </c>
      <c r="M69" s="20">
        <f>$I$27*$M$27</f>
        <v>0</v>
      </c>
      <c r="N69" s="20">
        <f>$I$27*$N$27</f>
        <v>0</v>
      </c>
      <c r="O69" s="20">
        <f>$I$27*$O$27</f>
        <v>0</v>
      </c>
      <c r="P69" s="20">
        <f>$I$27*$P$27</f>
        <v>0</v>
      </c>
      <c r="Q69" s="20">
        <f>$I$27*$Q$27</f>
        <v>0</v>
      </c>
      <c r="R69" s="20">
        <f>$I$27*$R$27</f>
        <v>0</v>
      </c>
      <c r="S69" s="20">
        <f>$I$27*$S$27</f>
        <v>0</v>
      </c>
      <c r="T69" s="20">
        <f>$I$27*$T$27</f>
        <v>0</v>
      </c>
      <c r="U69" s="20">
        <f>$I$27*$U$27</f>
        <v>0</v>
      </c>
      <c r="V69" s="20">
        <f>$I$27*$V$27</f>
        <v>0</v>
      </c>
      <c r="X69" s="20">
        <f>$I$27*$X$27</f>
        <v>0</v>
      </c>
      <c r="Y69" s="20">
        <f>$I$27*$Y$27</f>
        <v>0</v>
      </c>
      <c r="Z69" s="20">
        <f>$I$27*$Z$27</f>
        <v>0</v>
      </c>
      <c r="AA69" s="20">
        <f>$I$27*$AA$27</f>
        <v>0</v>
      </c>
      <c r="AB69" s="20">
        <f>$I$27*$AB$27</f>
        <v>0</v>
      </c>
      <c r="AC69" s="20">
        <f>$I$27*$AC$27</f>
        <v>0</v>
      </c>
      <c r="AD69" s="20">
        <f>$I$27*$AD$27</f>
        <v>0</v>
      </c>
      <c r="AE69" s="20">
        <f>$I$27*$AE$27</f>
        <v>0</v>
      </c>
      <c r="AF69" s="20">
        <f>$I$27*$AF$27</f>
        <v>0</v>
      </c>
      <c r="AG69" s="20">
        <f>$I$27*$AG$27</f>
        <v>0</v>
      </c>
      <c r="AH69" s="20">
        <f>$I$27*$AH$27</f>
        <v>0</v>
      </c>
    </row>
    <row r="70" spans="1:34" ht="11.25" customHeight="1" x14ac:dyDescent="0.3">
      <c r="A70" s="9" t="s">
        <v>39</v>
      </c>
      <c r="B70" s="9" t="s">
        <v>901</v>
      </c>
      <c r="C70" s="9" t="s">
        <v>902</v>
      </c>
      <c r="D70" s="9" t="s">
        <v>925</v>
      </c>
      <c r="E70" s="9" t="s">
        <v>926</v>
      </c>
      <c r="F70" s="9" t="s">
        <v>927</v>
      </c>
      <c r="G70" s="9" t="s">
        <v>928</v>
      </c>
      <c r="L70" s="20">
        <f>$I$28*$L$28</f>
        <v>0</v>
      </c>
      <c r="M70" s="20">
        <f>$I$28*$M$28</f>
        <v>0</v>
      </c>
      <c r="N70" s="20">
        <f>$I$28*$N$28</f>
        <v>0</v>
      </c>
      <c r="O70" s="20">
        <f>$I$28*$O$28</f>
        <v>0</v>
      </c>
      <c r="P70" s="20">
        <f>$I$28*$P$28</f>
        <v>0</v>
      </c>
      <c r="Q70" s="20">
        <f>$I$28*$Q$28</f>
        <v>0</v>
      </c>
      <c r="R70" s="20">
        <f>$I$28*$R$28</f>
        <v>0</v>
      </c>
      <c r="S70" s="20">
        <f>$I$28*$S$28</f>
        <v>0</v>
      </c>
      <c r="T70" s="20">
        <f>$I$28*$T$28</f>
        <v>0</v>
      </c>
      <c r="U70" s="20">
        <f>$I$28*$U$28</f>
        <v>0</v>
      </c>
      <c r="V70" s="20">
        <f>$I$28*$V$28</f>
        <v>0</v>
      </c>
      <c r="X70" s="20">
        <f>$I$28*$X$28</f>
        <v>0</v>
      </c>
      <c r="Y70" s="20">
        <f>$I$28*$Y$28</f>
        <v>0</v>
      </c>
      <c r="Z70" s="20">
        <f>$I$28*$Z$28</f>
        <v>0</v>
      </c>
      <c r="AA70" s="20">
        <f>$I$28*$AA$28</f>
        <v>0</v>
      </c>
      <c r="AB70" s="20">
        <f>$I$28*$AB$28</f>
        <v>0</v>
      </c>
      <c r="AC70" s="20">
        <f>$I$28*$AC$28</f>
        <v>0</v>
      </c>
      <c r="AD70" s="20">
        <f>$I$28*$AD$28</f>
        <v>0</v>
      </c>
      <c r="AE70" s="20">
        <f>$I$28*$AE$28</f>
        <v>0</v>
      </c>
      <c r="AF70" s="20">
        <f>$I$28*$AF$28</f>
        <v>0</v>
      </c>
      <c r="AG70" s="20">
        <f>$I$28*$AG$28</f>
        <v>0</v>
      </c>
      <c r="AH70" s="20">
        <f>$I$28*$AH$28</f>
        <v>0</v>
      </c>
    </row>
    <row r="71" spans="1:34" ht="11.25" customHeight="1" x14ac:dyDescent="0.3">
      <c r="A71" s="9" t="s">
        <v>39</v>
      </c>
      <c r="B71" s="9" t="s">
        <v>901</v>
      </c>
      <c r="C71" s="9" t="s">
        <v>902</v>
      </c>
      <c r="D71" s="9" t="s">
        <v>925</v>
      </c>
      <c r="E71" s="9" t="s">
        <v>926</v>
      </c>
      <c r="F71" s="9" t="s">
        <v>927</v>
      </c>
      <c r="G71" s="9" t="s">
        <v>929</v>
      </c>
      <c r="L71" s="20">
        <f>$I$29*$L$29</f>
        <v>0</v>
      </c>
      <c r="M71" s="20">
        <f>$I$29*$M$29</f>
        <v>0</v>
      </c>
      <c r="N71" s="20">
        <f>$I$29*$N$29</f>
        <v>0</v>
      </c>
      <c r="O71" s="20">
        <f>$I$29*$O$29</f>
        <v>0</v>
      </c>
      <c r="P71" s="20">
        <f>$I$29*$P$29</f>
        <v>0</v>
      </c>
      <c r="Q71" s="20">
        <f>$I$29*$Q$29</f>
        <v>0</v>
      </c>
      <c r="R71" s="20">
        <f>$I$29*$R$29</f>
        <v>0</v>
      </c>
      <c r="S71" s="20">
        <f>$I$29*$S$29</f>
        <v>0</v>
      </c>
      <c r="T71" s="20">
        <f>$I$29*$T$29</f>
        <v>0</v>
      </c>
      <c r="U71" s="20">
        <f>$I$29*$U$29</f>
        <v>0</v>
      </c>
      <c r="V71" s="20">
        <f>$I$29*$V$29</f>
        <v>0</v>
      </c>
      <c r="X71" s="20">
        <f>$I$29*$X$29</f>
        <v>0</v>
      </c>
      <c r="Y71" s="20">
        <f>$I$29*$Y$29</f>
        <v>0</v>
      </c>
      <c r="Z71" s="20">
        <f>$I$29*$Z$29</f>
        <v>0</v>
      </c>
      <c r="AA71" s="20">
        <f>$I$29*$AA$29</f>
        <v>0</v>
      </c>
      <c r="AB71" s="20">
        <f>$I$29*$AB$29</f>
        <v>0</v>
      </c>
      <c r="AC71" s="20">
        <f>$I$29*$AC$29</f>
        <v>0</v>
      </c>
      <c r="AD71" s="20">
        <f>$I$29*$AD$29</f>
        <v>0</v>
      </c>
      <c r="AE71" s="20">
        <f>$I$29*$AE$29</f>
        <v>0</v>
      </c>
      <c r="AF71" s="20">
        <f>$I$29*$AF$29</f>
        <v>0</v>
      </c>
      <c r="AG71" s="20">
        <f>$I$29*$AG$29</f>
        <v>0</v>
      </c>
      <c r="AH71" s="20">
        <f>$I$29*$AH$29</f>
        <v>0</v>
      </c>
    </row>
    <row r="72" spans="1:34" ht="11.25" customHeight="1" x14ac:dyDescent="0.3">
      <c r="A72" s="9" t="s">
        <v>39</v>
      </c>
      <c r="B72" s="9" t="s">
        <v>901</v>
      </c>
      <c r="C72" s="9" t="s">
        <v>902</v>
      </c>
      <c r="D72" s="9" t="s">
        <v>925</v>
      </c>
      <c r="E72" s="9" t="s">
        <v>926</v>
      </c>
      <c r="F72" s="9" t="s">
        <v>927</v>
      </c>
      <c r="G72" s="9" t="s">
        <v>930</v>
      </c>
      <c r="L72" s="20">
        <f>$I$30*$L$30</f>
        <v>0</v>
      </c>
      <c r="M72" s="20">
        <f>$I$30*$M$30</f>
        <v>0</v>
      </c>
      <c r="N72" s="20">
        <f>$I$30*$N$30</f>
        <v>0</v>
      </c>
      <c r="O72" s="20">
        <f>$I$30*$O$30</f>
        <v>0</v>
      </c>
      <c r="P72" s="20">
        <f>$I$30*$P$30</f>
        <v>0</v>
      </c>
      <c r="Q72" s="20">
        <f>$I$30*$Q$30</f>
        <v>0</v>
      </c>
      <c r="R72" s="20">
        <f>$I$30*$R$30</f>
        <v>0</v>
      </c>
      <c r="S72" s="20">
        <f>$I$30*$S$30</f>
        <v>0</v>
      </c>
      <c r="T72" s="20">
        <f>$I$30*$T$30</f>
        <v>0</v>
      </c>
      <c r="U72" s="20">
        <f>$I$30*$U$30</f>
        <v>0</v>
      </c>
      <c r="V72" s="20">
        <f>$I$30*$V$30</f>
        <v>0</v>
      </c>
      <c r="X72" s="20">
        <f>$I$30*$X$30</f>
        <v>0</v>
      </c>
      <c r="Y72" s="20">
        <f>$I$30*$Y$30</f>
        <v>0</v>
      </c>
      <c r="Z72" s="20">
        <f>$I$30*$Z$30</f>
        <v>0</v>
      </c>
      <c r="AA72" s="20">
        <f>$I$30*$AA$30</f>
        <v>0</v>
      </c>
      <c r="AB72" s="20">
        <f>$I$30*$AB$30</f>
        <v>0</v>
      </c>
      <c r="AC72" s="20">
        <f>$I$30*$AC$30</f>
        <v>0</v>
      </c>
      <c r="AD72" s="20">
        <f>$I$30*$AD$30</f>
        <v>0</v>
      </c>
      <c r="AE72" s="20">
        <f>$I$30*$AE$30</f>
        <v>0</v>
      </c>
      <c r="AF72" s="20">
        <f>$I$30*$AF$30</f>
        <v>0</v>
      </c>
      <c r="AG72" s="20">
        <f>$I$30*$AG$30</f>
        <v>0</v>
      </c>
      <c r="AH72" s="20">
        <f>$I$30*$AH$30</f>
        <v>0</v>
      </c>
    </row>
    <row r="73" spans="1:34" ht="11.25" customHeight="1" x14ac:dyDescent="0.3">
      <c r="A73" s="9" t="s">
        <v>39</v>
      </c>
      <c r="B73" s="9" t="s">
        <v>909</v>
      </c>
      <c r="C73" s="9" t="s">
        <v>910</v>
      </c>
      <c r="D73" s="9" t="s">
        <v>931</v>
      </c>
      <c r="E73" s="9" t="s">
        <v>932</v>
      </c>
      <c r="F73" s="9" t="s">
        <v>933</v>
      </c>
      <c r="G73" s="9" t="s">
        <v>934</v>
      </c>
      <c r="L73" s="20">
        <f>$I$31*$L$31</f>
        <v>0</v>
      </c>
      <c r="M73" s="20">
        <f>$I$31*$M$31</f>
        <v>0</v>
      </c>
      <c r="N73" s="20">
        <f>$I$31*$N$31</f>
        <v>0</v>
      </c>
      <c r="O73" s="20">
        <f>$I$31*$O$31</f>
        <v>0</v>
      </c>
      <c r="P73" s="20">
        <f>$I$31*$P$31</f>
        <v>0</v>
      </c>
      <c r="Q73" s="20">
        <f>$I$31*$Q$31</f>
        <v>0</v>
      </c>
      <c r="R73" s="20">
        <f>$I$31*$R$31</f>
        <v>0</v>
      </c>
      <c r="S73" s="20">
        <f>$I$31*$S$31</f>
        <v>0</v>
      </c>
      <c r="T73" s="20">
        <f>$I$31*$T$31</f>
        <v>0</v>
      </c>
      <c r="U73" s="20">
        <f>$I$31*$U$31</f>
        <v>0</v>
      </c>
      <c r="V73" s="20">
        <f>$I$31*$V$31</f>
        <v>0</v>
      </c>
      <c r="X73" s="20">
        <f>$I$31*$X$31</f>
        <v>0</v>
      </c>
      <c r="Y73" s="20">
        <f>$I$31*$Y$31</f>
        <v>0</v>
      </c>
      <c r="Z73" s="20">
        <f>$I$31*$Z$31</f>
        <v>0</v>
      </c>
      <c r="AA73" s="20">
        <f>$I$31*$AA$31</f>
        <v>0</v>
      </c>
      <c r="AB73" s="20">
        <f>$I$31*$AB$31</f>
        <v>0</v>
      </c>
      <c r="AC73" s="20">
        <f>$I$31*$AC$31</f>
        <v>0</v>
      </c>
      <c r="AD73" s="20">
        <f>$I$31*$AD$31</f>
        <v>0</v>
      </c>
      <c r="AE73" s="20">
        <f>$I$31*$AE$31</f>
        <v>0</v>
      </c>
      <c r="AF73" s="20">
        <f>$I$31*$AF$31</f>
        <v>0</v>
      </c>
      <c r="AG73" s="20">
        <f>$I$31*$AG$31</f>
        <v>0</v>
      </c>
      <c r="AH73" s="20">
        <f>$I$31*$AH$31</f>
        <v>0</v>
      </c>
    </row>
    <row r="74" spans="1:34" ht="11.25" customHeight="1" x14ac:dyDescent="0.3">
      <c r="A74" s="9" t="s">
        <v>39</v>
      </c>
      <c r="B74" s="9" t="s">
        <v>935</v>
      </c>
      <c r="C74" s="9" t="s">
        <v>936</v>
      </c>
      <c r="D74" s="9" t="s">
        <v>937</v>
      </c>
      <c r="E74" s="9" t="s">
        <v>938</v>
      </c>
      <c r="F74" s="9" t="s">
        <v>939</v>
      </c>
      <c r="G74" s="9" t="s">
        <v>940</v>
      </c>
      <c r="L74" s="20">
        <f>$I$32*$L$32</f>
        <v>0</v>
      </c>
      <c r="M74" s="20">
        <f>$I$32*$M$32</f>
        <v>0</v>
      </c>
      <c r="N74" s="20">
        <f>$I$32*$N$32</f>
        <v>0</v>
      </c>
      <c r="O74" s="20">
        <f>$I$32*$O$32</f>
        <v>0</v>
      </c>
      <c r="P74" s="20">
        <f>$I$32*$P$32</f>
        <v>0</v>
      </c>
      <c r="Q74" s="20">
        <f>$I$32*$Q$32</f>
        <v>0</v>
      </c>
      <c r="R74" s="20">
        <f>$I$32*$R$32</f>
        <v>0</v>
      </c>
      <c r="S74" s="20">
        <f>$I$32*$S$32</f>
        <v>0</v>
      </c>
      <c r="T74" s="20">
        <f>$I$32*$T$32</f>
        <v>0</v>
      </c>
      <c r="U74" s="20">
        <f>$I$32*$U$32</f>
        <v>0</v>
      </c>
      <c r="V74" s="20">
        <f>$I$32*$V$32</f>
        <v>0</v>
      </c>
      <c r="X74" s="20">
        <f>$I$32*$X$32</f>
        <v>0</v>
      </c>
      <c r="Y74" s="20">
        <f>$I$32*$Y$32</f>
        <v>0</v>
      </c>
      <c r="Z74" s="20">
        <f>$I$32*$Z$32</f>
        <v>0</v>
      </c>
      <c r="AA74" s="20">
        <f>$I$32*$AA$32</f>
        <v>0</v>
      </c>
      <c r="AB74" s="20">
        <f>$I$32*$AB$32</f>
        <v>0</v>
      </c>
      <c r="AC74" s="20">
        <f>$I$32*$AC$32</f>
        <v>0</v>
      </c>
      <c r="AD74" s="20">
        <f>$I$32*$AD$32</f>
        <v>0</v>
      </c>
      <c r="AE74" s="20">
        <f>$I$32*$AE$32</f>
        <v>0</v>
      </c>
      <c r="AF74" s="20">
        <f>$I$32*$AF$32</f>
        <v>0</v>
      </c>
      <c r="AG74" s="20">
        <f>$I$32*$AG$32</f>
        <v>0</v>
      </c>
      <c r="AH74" s="20">
        <f>$I$32*$AH$32</f>
        <v>0</v>
      </c>
    </row>
    <row r="75" spans="1:34" ht="11.25" customHeight="1" x14ac:dyDescent="0.3">
      <c r="A75" s="9" t="s">
        <v>39</v>
      </c>
      <c r="B75" s="9" t="s">
        <v>935</v>
      </c>
      <c r="C75" s="9" t="s">
        <v>936</v>
      </c>
      <c r="D75" s="9" t="s">
        <v>941</v>
      </c>
      <c r="E75" s="9" t="s">
        <v>942</v>
      </c>
      <c r="F75" s="9" t="s">
        <v>943</v>
      </c>
      <c r="G75" s="9" t="s">
        <v>944</v>
      </c>
      <c r="L75" s="20">
        <f>$I$33*$L$33</f>
        <v>0</v>
      </c>
      <c r="M75" s="20">
        <f>$I$33*$M$33</f>
        <v>0</v>
      </c>
      <c r="N75" s="20">
        <f>$I$33*$N$33</f>
        <v>0</v>
      </c>
      <c r="O75" s="20">
        <f>$I$33*$O$33</f>
        <v>0</v>
      </c>
      <c r="P75" s="20">
        <f>$I$33*$P$33</f>
        <v>0</v>
      </c>
      <c r="Q75" s="20">
        <f>$I$33*$Q$33</f>
        <v>0</v>
      </c>
      <c r="R75" s="20">
        <f>$I$33*$R$33</f>
        <v>0</v>
      </c>
      <c r="S75" s="20">
        <f>$I$33*$S$33</f>
        <v>0</v>
      </c>
      <c r="T75" s="20">
        <f>$I$33*$T$33</f>
        <v>0</v>
      </c>
      <c r="U75" s="20">
        <f>$I$33*$U$33</f>
        <v>0</v>
      </c>
      <c r="V75" s="20">
        <f>$I$33*$V$33</f>
        <v>0</v>
      </c>
      <c r="X75" s="20">
        <f>$I$33*$X$33</f>
        <v>0</v>
      </c>
      <c r="Y75" s="20">
        <f>$I$33*$Y$33</f>
        <v>0</v>
      </c>
      <c r="Z75" s="20">
        <f>$I$33*$Z$33</f>
        <v>0</v>
      </c>
      <c r="AA75" s="20">
        <f>$I$33*$AA$33</f>
        <v>0</v>
      </c>
      <c r="AB75" s="20">
        <f>$I$33*$AB$33</f>
        <v>0</v>
      </c>
      <c r="AC75" s="20">
        <f>$I$33*$AC$33</f>
        <v>0</v>
      </c>
      <c r="AD75" s="20">
        <f>$I$33*$AD$33</f>
        <v>0</v>
      </c>
      <c r="AE75" s="20">
        <f>$I$33*$AE$33</f>
        <v>0</v>
      </c>
      <c r="AF75" s="20">
        <f>$I$33*$AF$33</f>
        <v>0</v>
      </c>
      <c r="AG75" s="20">
        <f>$I$33*$AG$33</f>
        <v>0</v>
      </c>
      <c r="AH75" s="20">
        <f>$I$33*$AH$33</f>
        <v>0</v>
      </c>
    </row>
    <row r="76" spans="1:34" ht="11.25" customHeight="1" x14ac:dyDescent="0.3">
      <c r="A76" s="9" t="s">
        <v>39</v>
      </c>
      <c r="B76" s="9" t="s">
        <v>935</v>
      </c>
      <c r="C76" s="9" t="s">
        <v>936</v>
      </c>
      <c r="D76" s="9" t="s">
        <v>945</v>
      </c>
      <c r="E76" s="9" t="s">
        <v>946</v>
      </c>
      <c r="F76" s="9" t="s">
        <v>947</v>
      </c>
      <c r="G76" s="9" t="s">
        <v>948</v>
      </c>
      <c r="L76" s="20">
        <f>$I$34*$L$34</f>
        <v>0</v>
      </c>
      <c r="M76" s="20">
        <f>$I$34*$M$34</f>
        <v>0</v>
      </c>
      <c r="N76" s="20">
        <f>$I$34*$N$34</f>
        <v>0</v>
      </c>
      <c r="O76" s="20">
        <f>$I$34*$O$34</f>
        <v>0</v>
      </c>
      <c r="P76" s="20">
        <f>$I$34*$P$34</f>
        <v>0</v>
      </c>
      <c r="Q76" s="20">
        <f>$I$34*$Q$34</f>
        <v>0</v>
      </c>
      <c r="R76" s="20">
        <f>$I$34*$R$34</f>
        <v>0</v>
      </c>
      <c r="S76" s="20">
        <f>$I$34*$S$34</f>
        <v>0</v>
      </c>
      <c r="T76" s="20">
        <f>$I$34*$T$34</f>
        <v>0</v>
      </c>
      <c r="U76" s="20">
        <f>$I$34*$U$34</f>
        <v>0</v>
      </c>
      <c r="V76" s="20">
        <f>$I$34*$V$34</f>
        <v>0</v>
      </c>
      <c r="X76" s="20">
        <f>$I$34*$X$34</f>
        <v>0</v>
      </c>
      <c r="Y76" s="20">
        <f>$I$34*$Y$34</f>
        <v>0</v>
      </c>
      <c r="Z76" s="20">
        <f>$I$34*$Z$34</f>
        <v>0</v>
      </c>
      <c r="AA76" s="20">
        <f>$I$34*$AA$34</f>
        <v>0</v>
      </c>
      <c r="AB76" s="20">
        <f>$I$34*$AB$34</f>
        <v>0</v>
      </c>
      <c r="AC76" s="20">
        <f>$I$34*$AC$34</f>
        <v>0</v>
      </c>
      <c r="AD76" s="20">
        <f>$I$34*$AD$34</f>
        <v>0</v>
      </c>
      <c r="AE76" s="20">
        <f>$I$34*$AE$34</f>
        <v>0</v>
      </c>
      <c r="AF76" s="20">
        <f>$I$34*$AF$34</f>
        <v>0</v>
      </c>
      <c r="AG76" s="20">
        <f>$I$34*$AG$34</f>
        <v>0</v>
      </c>
      <c r="AH76" s="20">
        <f>$I$34*$AH$34</f>
        <v>0</v>
      </c>
    </row>
    <row r="77" spans="1:34" ht="11.25" customHeight="1" x14ac:dyDescent="0.3">
      <c r="A77" s="9" t="s">
        <v>31</v>
      </c>
      <c r="B77" s="9" t="s">
        <v>949</v>
      </c>
      <c r="C77" s="9" t="s">
        <v>950</v>
      </c>
      <c r="D77" s="9" t="s">
        <v>951</v>
      </c>
      <c r="E77" s="9" t="s">
        <v>952</v>
      </c>
      <c r="F77" s="9" t="s">
        <v>953</v>
      </c>
      <c r="G77" s="9" t="s">
        <v>954</v>
      </c>
      <c r="L77" s="20">
        <f>$I$35*$L$35</f>
        <v>0</v>
      </c>
      <c r="M77" s="20">
        <f>$I$35*$M$35</f>
        <v>0</v>
      </c>
      <c r="N77" s="20">
        <f>$I$35*$N$35</f>
        <v>0</v>
      </c>
      <c r="O77" s="20">
        <f>$I$35*$O$35</f>
        <v>0</v>
      </c>
      <c r="P77" s="20">
        <f>$I$35*$P$35</f>
        <v>0</v>
      </c>
      <c r="Q77" s="20">
        <f>$I$35*$Q$35</f>
        <v>0</v>
      </c>
      <c r="R77" s="20">
        <f>$I$35*$R$35</f>
        <v>0</v>
      </c>
      <c r="S77" s="20">
        <f>$I$35*$S$35</f>
        <v>0</v>
      </c>
      <c r="T77" s="20">
        <f>$I$35*$T$35</f>
        <v>0</v>
      </c>
      <c r="U77" s="20">
        <f>$I$35*$U$35</f>
        <v>0</v>
      </c>
      <c r="V77" s="20">
        <f>$I$35*$V$35</f>
        <v>0</v>
      </c>
      <c r="X77" s="20">
        <f>$I$35*$X$35</f>
        <v>0</v>
      </c>
      <c r="Y77" s="20">
        <f>$I$35*$Y$35</f>
        <v>0</v>
      </c>
      <c r="Z77" s="20">
        <f>$I$35*$Z$35</f>
        <v>0</v>
      </c>
      <c r="AA77" s="20">
        <f>$I$35*$AA$35</f>
        <v>0</v>
      </c>
      <c r="AB77" s="20">
        <f>$I$35*$AB$35</f>
        <v>0</v>
      </c>
      <c r="AC77" s="20">
        <f>$I$35*$AC$35</f>
        <v>0</v>
      </c>
      <c r="AD77" s="20">
        <f>$I$35*$AD$35</f>
        <v>0</v>
      </c>
      <c r="AE77" s="20">
        <f>$I$35*$AE$35</f>
        <v>0</v>
      </c>
      <c r="AF77" s="20">
        <f>$I$35*$AF$35</f>
        <v>0</v>
      </c>
      <c r="AG77" s="20">
        <f>$I$35*$AG$35</f>
        <v>0</v>
      </c>
      <c r="AH77" s="20">
        <f>$I$35*$AH$35</f>
        <v>0</v>
      </c>
    </row>
    <row r="78" spans="1:34" ht="11.25" customHeight="1" x14ac:dyDescent="0.3">
      <c r="A78" s="9" t="s">
        <v>31</v>
      </c>
      <c r="B78" s="9" t="s">
        <v>949</v>
      </c>
      <c r="C78" s="9" t="s">
        <v>950</v>
      </c>
      <c r="D78" s="9" t="s">
        <v>951</v>
      </c>
      <c r="E78" s="9" t="s">
        <v>952</v>
      </c>
      <c r="F78" s="9" t="s">
        <v>953</v>
      </c>
      <c r="G78" s="9" t="s">
        <v>955</v>
      </c>
      <c r="L78" s="20">
        <f>$I$36*$L$36</f>
        <v>0</v>
      </c>
      <c r="M78" s="20">
        <f>$I$36*$M$36</f>
        <v>0</v>
      </c>
      <c r="N78" s="20">
        <f>$I$36*$N$36</f>
        <v>0</v>
      </c>
      <c r="O78" s="20">
        <f>$I$36*$O$36</f>
        <v>0</v>
      </c>
      <c r="P78" s="20">
        <f>$I$36*$P$36</f>
        <v>0</v>
      </c>
      <c r="Q78" s="20">
        <f>$I$36*$Q$36</f>
        <v>0</v>
      </c>
      <c r="R78" s="20">
        <f>$I$36*$R$36</f>
        <v>0</v>
      </c>
      <c r="S78" s="20">
        <f>$I$36*$S$36</f>
        <v>0</v>
      </c>
      <c r="T78" s="20">
        <f>$I$36*$T$36</f>
        <v>0</v>
      </c>
      <c r="U78" s="20">
        <f>$I$36*$U$36</f>
        <v>0</v>
      </c>
      <c r="V78" s="20">
        <f>$I$36*$V$36</f>
        <v>0</v>
      </c>
      <c r="X78" s="20">
        <f>$I$36*$X$36</f>
        <v>0</v>
      </c>
      <c r="Y78" s="20">
        <f>$I$36*$Y$36</f>
        <v>0</v>
      </c>
      <c r="Z78" s="20">
        <f>$I$36*$Z$36</f>
        <v>0</v>
      </c>
      <c r="AA78" s="20">
        <f>$I$36*$AA$36</f>
        <v>0</v>
      </c>
      <c r="AB78" s="20">
        <f>$I$36*$AB$36</f>
        <v>0</v>
      </c>
      <c r="AC78" s="20">
        <f>$I$36*$AC$36</f>
        <v>0</v>
      </c>
      <c r="AD78" s="20">
        <f>$I$36*$AD$36</f>
        <v>0</v>
      </c>
      <c r="AE78" s="20">
        <f>$I$36*$AE$36</f>
        <v>0</v>
      </c>
      <c r="AF78" s="20">
        <f>$I$36*$AF$36</f>
        <v>0</v>
      </c>
      <c r="AG78" s="20">
        <f>$I$36*$AG$36</f>
        <v>0</v>
      </c>
      <c r="AH78" s="20">
        <f>$I$36*$AH$36</f>
        <v>0</v>
      </c>
    </row>
    <row r="79" spans="1:34" ht="11.25" customHeight="1" x14ac:dyDescent="0.3">
      <c r="A79" s="9" t="s">
        <v>31</v>
      </c>
      <c r="B79" s="9" t="s">
        <v>949</v>
      </c>
      <c r="C79" s="9" t="s">
        <v>950</v>
      </c>
      <c r="D79" s="9" t="s">
        <v>951</v>
      </c>
      <c r="E79" s="9" t="s">
        <v>952</v>
      </c>
      <c r="F79" s="9" t="s">
        <v>953</v>
      </c>
      <c r="G79" s="9" t="s">
        <v>956</v>
      </c>
      <c r="L79" s="20">
        <f>$I$37*$L$37</f>
        <v>0</v>
      </c>
      <c r="M79" s="20">
        <f>$I$37*$M$37</f>
        <v>0</v>
      </c>
      <c r="N79" s="20">
        <f>$I$37*$N$37</f>
        <v>0</v>
      </c>
      <c r="O79" s="20">
        <f>$I$37*$O$37</f>
        <v>0</v>
      </c>
      <c r="P79" s="20">
        <f>$I$37*$P$37</f>
        <v>0</v>
      </c>
      <c r="Q79" s="20">
        <f>$I$37*$Q$37</f>
        <v>0</v>
      </c>
      <c r="R79" s="20">
        <f>$I$37*$R$37</f>
        <v>0</v>
      </c>
      <c r="S79" s="20">
        <f>$I$37*$S$37</f>
        <v>0</v>
      </c>
      <c r="T79" s="20">
        <f>$I$37*$T$37</f>
        <v>0</v>
      </c>
      <c r="U79" s="20">
        <f>$I$37*$U$37</f>
        <v>0</v>
      </c>
      <c r="V79" s="20">
        <f>$I$37*$V$37</f>
        <v>0</v>
      </c>
      <c r="X79" s="20">
        <f>$I$37*$X$37</f>
        <v>0</v>
      </c>
      <c r="Y79" s="20">
        <f>$I$37*$Y$37</f>
        <v>0</v>
      </c>
      <c r="Z79" s="20">
        <f>$I$37*$Z$37</f>
        <v>0</v>
      </c>
      <c r="AA79" s="20">
        <f>$I$37*$AA$37</f>
        <v>0</v>
      </c>
      <c r="AB79" s="20">
        <f>$I$37*$AB$37</f>
        <v>0</v>
      </c>
      <c r="AC79" s="20">
        <f>$I$37*$AC$37</f>
        <v>0</v>
      </c>
      <c r="AD79" s="20">
        <f>$I$37*$AD$37</f>
        <v>0</v>
      </c>
      <c r="AE79" s="20">
        <f>$I$37*$AE$37</f>
        <v>0</v>
      </c>
      <c r="AF79" s="20">
        <f>$I$37*$AF$37</f>
        <v>0</v>
      </c>
      <c r="AG79" s="20">
        <f>$I$37*$AG$37</f>
        <v>0</v>
      </c>
      <c r="AH79" s="20">
        <f>$I$37*$AH$37</f>
        <v>0</v>
      </c>
    </row>
    <row r="80" spans="1:34" ht="11.25" customHeight="1" x14ac:dyDescent="0.3">
      <c r="A80" s="9" t="s">
        <v>31</v>
      </c>
      <c r="B80" s="9" t="s">
        <v>957</v>
      </c>
      <c r="C80" s="9" t="s">
        <v>958</v>
      </c>
      <c r="D80" s="9" t="s">
        <v>959</v>
      </c>
      <c r="E80" s="9" t="s">
        <v>960</v>
      </c>
      <c r="F80" s="9" t="s">
        <v>961</v>
      </c>
      <c r="G80" s="9" t="s">
        <v>962</v>
      </c>
      <c r="L80" s="20">
        <f>$I$38*$L$38</f>
        <v>0</v>
      </c>
      <c r="M80" s="20">
        <f>$I$38*$M$38</f>
        <v>5147.2300979649553</v>
      </c>
      <c r="N80" s="20">
        <f>$I$38*$N$38</f>
        <v>0</v>
      </c>
      <c r="O80" s="20">
        <f>$I$38*$O$38</f>
        <v>0</v>
      </c>
      <c r="P80" s="20">
        <f>$I$38*$P$38</f>
        <v>0</v>
      </c>
      <c r="Q80" s="20">
        <f>$I$38*$Q$38</f>
        <v>66205.508154945201</v>
      </c>
      <c r="R80" s="20">
        <f>$I$38*$R$38</f>
        <v>0</v>
      </c>
      <c r="S80" s="20">
        <f>$I$38*$S$38</f>
        <v>0</v>
      </c>
      <c r="T80" s="20">
        <f>$I$38*$T$38</f>
        <v>0</v>
      </c>
      <c r="U80" s="20">
        <f>$I$38*$U$38</f>
        <v>0</v>
      </c>
      <c r="V80" s="20">
        <f>$I$38*$V$38</f>
        <v>0</v>
      </c>
      <c r="X80" s="20">
        <f>$I$38*$X$38</f>
        <v>0</v>
      </c>
      <c r="Y80" s="20">
        <f>$I$38*$Y$38</f>
        <v>0</v>
      </c>
      <c r="Z80" s="20">
        <f>$I$38*$Z$38</f>
        <v>0</v>
      </c>
      <c r="AA80" s="20">
        <f>$I$38*$AA$38</f>
        <v>0</v>
      </c>
      <c r="AB80" s="20">
        <f>$I$38*$AB$38</f>
        <v>0</v>
      </c>
      <c r="AC80" s="20">
        <f>$I$38*$AC$38</f>
        <v>99890.730369076744</v>
      </c>
      <c r="AD80" s="20">
        <f>$I$38*$AD$38</f>
        <v>0</v>
      </c>
      <c r="AE80" s="20">
        <f>$I$38*$AE$38</f>
        <v>0</v>
      </c>
      <c r="AF80" s="20">
        <f>$I$38*$AF$38</f>
        <v>0</v>
      </c>
      <c r="AG80" s="20">
        <f>$I$38*$AG$38</f>
        <v>0</v>
      </c>
      <c r="AH80" s="20">
        <f>$I$38*$AH$38</f>
        <v>0</v>
      </c>
    </row>
    <row r="81" spans="1:34" ht="11.25" customHeight="1" x14ac:dyDescent="0.3">
      <c r="A81" s="9" t="s">
        <v>31</v>
      </c>
      <c r="B81" s="9" t="s">
        <v>963</v>
      </c>
      <c r="C81" s="9" t="s">
        <v>964</v>
      </c>
      <c r="D81" s="9" t="s">
        <v>965</v>
      </c>
      <c r="E81" s="9" t="s">
        <v>966</v>
      </c>
      <c r="F81" s="9" t="s">
        <v>967</v>
      </c>
      <c r="G81" s="9" t="s">
        <v>968</v>
      </c>
      <c r="L81" s="20">
        <f>$I$39*$L$39</f>
        <v>0</v>
      </c>
      <c r="M81" s="20">
        <f>$I$39*$M$39</f>
        <v>0</v>
      </c>
      <c r="N81" s="20">
        <f>$I$39*$N$39</f>
        <v>0</v>
      </c>
      <c r="O81" s="20">
        <f>$I$39*$O$39</f>
        <v>0</v>
      </c>
      <c r="P81" s="20">
        <f>$I$39*$P$39</f>
        <v>0</v>
      </c>
      <c r="Q81" s="20">
        <f>$I$39*$Q$39</f>
        <v>0</v>
      </c>
      <c r="R81" s="20">
        <f>$I$39*$R$39</f>
        <v>0</v>
      </c>
      <c r="S81" s="20">
        <f>$I$39*$S$39</f>
        <v>0</v>
      </c>
      <c r="T81" s="20">
        <f>$I$39*$T$39</f>
        <v>0</v>
      </c>
      <c r="U81" s="20">
        <f>$I$39*$U$39</f>
        <v>0</v>
      </c>
      <c r="V81" s="20">
        <f>$I$39*$V$39</f>
        <v>0</v>
      </c>
      <c r="X81" s="20">
        <f>$I$39*$X$39</f>
        <v>0</v>
      </c>
      <c r="Y81" s="20">
        <f>$I$39*$Y$39</f>
        <v>0</v>
      </c>
      <c r="Z81" s="20">
        <f>$I$39*$Z$39</f>
        <v>0</v>
      </c>
      <c r="AA81" s="20">
        <f>$I$39*$AA$39</f>
        <v>0</v>
      </c>
      <c r="AB81" s="20">
        <f>$I$39*$AB$39</f>
        <v>0</v>
      </c>
      <c r="AC81" s="20">
        <f>$I$39*$AC$39</f>
        <v>0</v>
      </c>
      <c r="AD81" s="20">
        <f>$I$39*$AD$39</f>
        <v>0</v>
      </c>
      <c r="AE81" s="20">
        <f>$I$39*$AE$39</f>
        <v>0</v>
      </c>
      <c r="AF81" s="20">
        <f>$I$39*$AF$39</f>
        <v>0</v>
      </c>
      <c r="AG81" s="20">
        <f>$I$39*$AG$39</f>
        <v>0</v>
      </c>
      <c r="AH81" s="20">
        <f>$I$39*$AH$39</f>
        <v>0</v>
      </c>
    </row>
    <row r="82" spans="1:34" ht="11.25" customHeight="1" x14ac:dyDescent="0.3">
      <c r="A82" s="9" t="s">
        <v>43</v>
      </c>
      <c r="B82" s="9" t="s">
        <v>969</v>
      </c>
      <c r="C82" s="9" t="s">
        <v>970</v>
      </c>
      <c r="D82" s="9" t="s">
        <v>971</v>
      </c>
      <c r="E82" s="9" t="s">
        <v>972</v>
      </c>
      <c r="F82" s="9" t="s">
        <v>973</v>
      </c>
      <c r="G82" s="9" t="s">
        <v>974</v>
      </c>
      <c r="L82" s="20">
        <f>$I$40*$L$40</f>
        <v>0</v>
      </c>
      <c r="M82" s="20">
        <f>$I$40*$M$40</f>
        <v>2196.9877540271596</v>
      </c>
      <c r="N82" s="20">
        <f>$I$40*$N$40</f>
        <v>0</v>
      </c>
      <c r="O82" s="20">
        <f>$I$40*$O$40</f>
        <v>0</v>
      </c>
      <c r="P82" s="20">
        <f>$I$40*$P$40</f>
        <v>0</v>
      </c>
      <c r="Q82" s="20">
        <f>$I$40*$Q$40</f>
        <v>28258.439567927424</v>
      </c>
      <c r="R82" s="20">
        <f>$I$40*$R$40</f>
        <v>0</v>
      </c>
      <c r="S82" s="20">
        <f>$I$40*$S$40</f>
        <v>0</v>
      </c>
      <c r="T82" s="20">
        <f>$I$40*$T$40</f>
        <v>0</v>
      </c>
      <c r="U82" s="20">
        <f>$I$40*$U$40</f>
        <v>0</v>
      </c>
      <c r="V82" s="20">
        <f>$I$40*$V$40</f>
        <v>0</v>
      </c>
      <c r="X82" s="20">
        <f>$I$40*$X$40</f>
        <v>0</v>
      </c>
      <c r="Y82" s="20">
        <f>$I$40*$Y$40</f>
        <v>0</v>
      </c>
      <c r="Z82" s="20">
        <f>$I$40*$Z$40</f>
        <v>0</v>
      </c>
      <c r="AA82" s="20">
        <f>$I$40*$AA$40</f>
        <v>0</v>
      </c>
      <c r="AB82" s="20">
        <f>$I$40*$AB$40</f>
        <v>0</v>
      </c>
      <c r="AC82" s="20">
        <f>$I$40*$AC$40</f>
        <v>42636.273720978083</v>
      </c>
      <c r="AD82" s="20">
        <f>$I$40*$AD$40</f>
        <v>0</v>
      </c>
      <c r="AE82" s="20">
        <f>$I$40*$AE$40</f>
        <v>0</v>
      </c>
      <c r="AF82" s="20">
        <f>$I$40*$AF$40</f>
        <v>0</v>
      </c>
      <c r="AG82" s="20">
        <f>$I$40*$AG$40</f>
        <v>0</v>
      </c>
      <c r="AH82" s="20">
        <f>$I$40*$AH$40</f>
        <v>0</v>
      </c>
    </row>
    <row r="83" spans="1:34" ht="11.25" customHeight="1" x14ac:dyDescent="0.3">
      <c r="A83" s="9" t="s">
        <v>43</v>
      </c>
      <c r="B83" s="9" t="s">
        <v>969</v>
      </c>
      <c r="C83" s="9" t="s">
        <v>970</v>
      </c>
      <c r="D83" s="9" t="s">
        <v>975</v>
      </c>
      <c r="E83" s="9" t="s">
        <v>976</v>
      </c>
      <c r="F83" s="9" t="s">
        <v>977</v>
      </c>
      <c r="G83" s="9" t="s">
        <v>978</v>
      </c>
      <c r="L83" s="20">
        <f>$I$41*$L$41</f>
        <v>0</v>
      </c>
      <c r="M83" s="20">
        <f>$I$41*$M$41</f>
        <v>0</v>
      </c>
      <c r="N83" s="20">
        <f>$I$41*$N$41</f>
        <v>0</v>
      </c>
      <c r="O83" s="20">
        <f>$I$41*$O$41</f>
        <v>0</v>
      </c>
      <c r="P83" s="20">
        <f>$I$41*$P$41</f>
        <v>0</v>
      </c>
      <c r="Q83" s="20">
        <f>$I$41*$Q$41</f>
        <v>0</v>
      </c>
      <c r="R83" s="20">
        <f>$I$41*$R$41</f>
        <v>0</v>
      </c>
      <c r="S83" s="20">
        <f>$I$41*$S$41</f>
        <v>0</v>
      </c>
      <c r="T83" s="20">
        <f>$I$41*$T$41</f>
        <v>0</v>
      </c>
      <c r="U83" s="20">
        <f>$I$41*$U$41</f>
        <v>0</v>
      </c>
      <c r="V83" s="20">
        <f>$I$41*$V$41</f>
        <v>0</v>
      </c>
      <c r="X83" s="20">
        <f>$I$41*$X$41</f>
        <v>0</v>
      </c>
      <c r="Y83" s="20">
        <f>$I$41*$Y$41</f>
        <v>0</v>
      </c>
      <c r="Z83" s="20">
        <f>$I$41*$Z$41</f>
        <v>0</v>
      </c>
      <c r="AA83" s="20">
        <f>$I$41*$AA$41</f>
        <v>0</v>
      </c>
      <c r="AB83" s="20">
        <f>$I$41*$AB$41</f>
        <v>0</v>
      </c>
      <c r="AC83" s="20">
        <f>$I$41*$AC$41</f>
        <v>0</v>
      </c>
      <c r="AD83" s="20">
        <f>$I$41*$AD$41</f>
        <v>0</v>
      </c>
      <c r="AE83" s="20">
        <f>$I$41*$AE$41</f>
        <v>0</v>
      </c>
      <c r="AF83" s="20">
        <f>$I$41*$AF$41</f>
        <v>0</v>
      </c>
      <c r="AG83" s="20">
        <f>$I$41*$AG$41</f>
        <v>0</v>
      </c>
      <c r="AH83" s="20">
        <f>$I$41*$AH$41</f>
        <v>0</v>
      </c>
    </row>
  </sheetData>
  <mergeCells count="69">
    <mergeCell ref="L43:V43"/>
    <mergeCell ref="X43:AH43"/>
    <mergeCell ref="L44:V44"/>
    <mergeCell ref="X44:AH44"/>
    <mergeCell ref="L45:P45"/>
    <mergeCell ref="R45:T45"/>
    <mergeCell ref="X45:AB45"/>
    <mergeCell ref="AD45:AF45"/>
    <mergeCell ref="E35:E37"/>
    <mergeCell ref="F35:F37"/>
    <mergeCell ref="A40:A41"/>
    <mergeCell ref="B40:B41"/>
    <mergeCell ref="C40:C41"/>
    <mergeCell ref="A35:A39"/>
    <mergeCell ref="B35:B37"/>
    <mergeCell ref="C35:C37"/>
    <mergeCell ref="D35:D37"/>
    <mergeCell ref="X1:AH1"/>
    <mergeCell ref="X2:AH2"/>
    <mergeCell ref="X3:AB3"/>
    <mergeCell ref="AD3:AF3"/>
    <mergeCell ref="B32:B34"/>
    <mergeCell ref="C32:C34"/>
    <mergeCell ref="F24:F26"/>
    <mergeCell ref="B28:B30"/>
    <mergeCell ref="C28:C30"/>
    <mergeCell ref="D28:D30"/>
    <mergeCell ref="E28:E30"/>
    <mergeCell ref="F28:F30"/>
    <mergeCell ref="F20:F22"/>
    <mergeCell ref="F7:F9"/>
    <mergeCell ref="F5:F6"/>
    <mergeCell ref="G1:G4"/>
    <mergeCell ref="A20:A34"/>
    <mergeCell ref="B20:B22"/>
    <mergeCell ref="C20:C22"/>
    <mergeCell ref="D20:D22"/>
    <mergeCell ref="E20:E22"/>
    <mergeCell ref="B24:B26"/>
    <mergeCell ref="C24:C26"/>
    <mergeCell ref="D24:D26"/>
    <mergeCell ref="E24:E26"/>
    <mergeCell ref="A7:A19"/>
    <mergeCell ref="B7:B9"/>
    <mergeCell ref="C7:C9"/>
    <mergeCell ref="D7:D9"/>
    <mergeCell ref="E7:E9"/>
    <mergeCell ref="B10:B14"/>
    <mergeCell ref="C10:C14"/>
    <mergeCell ref="B15:B19"/>
    <mergeCell ref="C15:C19"/>
    <mergeCell ref="A5:A6"/>
    <mergeCell ref="B5:B6"/>
    <mergeCell ref="C5:C6"/>
    <mergeCell ref="D5:D6"/>
    <mergeCell ref="E5:E6"/>
    <mergeCell ref="H1:H4"/>
    <mergeCell ref="I1:I4"/>
    <mergeCell ref="J1:J4"/>
    <mergeCell ref="L1:V1"/>
    <mergeCell ref="L2:V2"/>
    <mergeCell ref="L3:P3"/>
    <mergeCell ref="R3:T3"/>
    <mergeCell ref="F1:F4"/>
    <mergeCell ref="A1:A4"/>
    <mergeCell ref="B1:B4"/>
    <mergeCell ref="C1:C4"/>
    <mergeCell ref="D1:D4"/>
    <mergeCell ref="E1:E4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DED6-C165-4DB1-9F6A-C21905977BC6}">
  <dimension ref="A1:AG15"/>
  <sheetViews>
    <sheetView showGridLines="0" workbookViewId="0">
      <selection activeCell="J15" sqref="J15"/>
    </sheetView>
  </sheetViews>
  <sheetFormatPr defaultRowHeight="10.199999999999999" x14ac:dyDescent="0.2"/>
  <cols>
    <col min="1" max="1" width="18.5546875" style="14" bestFit="1" customWidth="1"/>
    <col min="2" max="2" width="11.88671875" style="14" bestFit="1" customWidth="1"/>
    <col min="3" max="7" width="9.5546875" style="14" bestFit="1" customWidth="1"/>
    <col min="8" max="8" width="7.88671875" style="14" bestFit="1" customWidth="1"/>
    <col min="9" max="9" width="7.6640625" style="14" bestFit="1" customWidth="1"/>
    <col min="10" max="10" width="7" style="14" bestFit="1" customWidth="1"/>
    <col min="11" max="11" width="6.88671875" style="14" bestFit="1" customWidth="1"/>
    <col min="12" max="12" width="9" style="14" bestFit="1" customWidth="1"/>
    <col min="13" max="13" width="9.21875" style="14" bestFit="1" customWidth="1"/>
    <col min="14" max="14" width="9.109375" style="14" bestFit="1" customWidth="1"/>
    <col min="15" max="15" width="6.88671875" style="14" bestFit="1" customWidth="1"/>
    <col min="16" max="16" width="9.21875" style="14" bestFit="1" customWidth="1"/>
    <col min="17" max="17" width="10.6640625" style="14" bestFit="1" customWidth="1"/>
    <col min="18" max="18" width="7.5546875" style="14" bestFit="1" customWidth="1"/>
    <col min="19" max="19" width="6.77734375" style="14" bestFit="1" customWidth="1"/>
    <col min="20" max="20" width="14.44140625" style="14" bestFit="1" customWidth="1"/>
    <col min="21" max="21" width="17.77734375" style="14" bestFit="1" customWidth="1"/>
    <col min="22" max="22" width="18.109375" style="14" bestFit="1" customWidth="1"/>
    <col min="23" max="23" width="5.33203125" style="14" bestFit="1" customWidth="1"/>
    <col min="24" max="24" width="9.109375" style="14" bestFit="1" customWidth="1"/>
    <col min="25" max="26" width="8.88671875" style="14"/>
    <col min="27" max="27" width="2.5546875" style="14" bestFit="1" customWidth="1"/>
    <col min="28" max="28" width="19.44140625" style="14" bestFit="1" customWidth="1"/>
    <col min="29" max="29" width="12.6640625" style="14" bestFit="1" customWidth="1"/>
    <col min="30" max="30" width="23.109375" style="14" bestFit="1" customWidth="1"/>
    <col min="31" max="33" width="9.5546875" style="14" bestFit="1" customWidth="1"/>
    <col min="34" max="16384" width="8.88671875" style="14"/>
  </cols>
  <sheetData>
    <row r="1" spans="1:33" x14ac:dyDescent="0.2">
      <c r="A1" s="14" t="s">
        <v>58</v>
      </c>
      <c r="B1" s="14" t="s">
        <v>59</v>
      </c>
      <c r="C1" s="14" t="s">
        <v>60</v>
      </c>
      <c r="D1" s="14" t="s">
        <v>61</v>
      </c>
      <c r="E1" s="14" t="s">
        <v>62</v>
      </c>
      <c r="F1" s="14" t="s">
        <v>15</v>
      </c>
      <c r="G1" s="14" t="s">
        <v>64</v>
      </c>
      <c r="I1" s="14" t="s">
        <v>986</v>
      </c>
      <c r="AA1" s="14" t="s">
        <v>33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33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77</v>
      </c>
      <c r="AB2" s="14" t="s">
        <v>34</v>
      </c>
      <c r="AC2" s="14" t="s">
        <v>24</v>
      </c>
      <c r="AD2" s="14" t="s">
        <v>24</v>
      </c>
      <c r="AE2" s="14" t="s">
        <v>75</v>
      </c>
      <c r="AG2" s="14" t="s">
        <v>72</v>
      </c>
    </row>
    <row r="3" spans="1:33" x14ac:dyDescent="0.2">
      <c r="AA3" s="14" t="s">
        <v>22</v>
      </c>
      <c r="AB3" s="14" t="s">
        <v>76</v>
      </c>
      <c r="AC3" s="14" t="s">
        <v>40</v>
      </c>
      <c r="AD3" s="14" t="s">
        <v>27</v>
      </c>
      <c r="AE3" s="14" t="s">
        <v>78</v>
      </c>
      <c r="AG3" s="14" t="s">
        <v>73</v>
      </c>
    </row>
    <row r="4" spans="1:33" x14ac:dyDescent="0.2">
      <c r="AA4" s="14" t="s">
        <v>39</v>
      </c>
      <c r="AB4" s="14" t="s">
        <v>37</v>
      </c>
      <c r="AC4" s="14" t="s">
        <v>44</v>
      </c>
      <c r="AD4" s="14" t="s">
        <v>28</v>
      </c>
      <c r="AE4" s="14" t="s">
        <v>79</v>
      </c>
      <c r="AG4" s="14" t="s">
        <v>74</v>
      </c>
    </row>
    <row r="5" spans="1:33" x14ac:dyDescent="0.2">
      <c r="A5" s="14" t="s">
        <v>979</v>
      </c>
      <c r="B5" s="14" t="str">
        <f>TUSD!$AI$4</f>
        <v>CDE Covid TUSD</v>
      </c>
      <c r="C5" s="14" t="str">
        <f>TUSD!$AJ$4</f>
        <v>TFSEE</v>
      </c>
      <c r="D5" s="14" t="str">
        <f>TUSD!$AK$4</f>
        <v>P&amp;D</v>
      </c>
      <c r="E5" s="14" t="str">
        <f>TUSD!$AL$4</f>
        <v>ONS</v>
      </c>
      <c r="F5" s="14" t="str">
        <f>TUSD!$AM$4</f>
        <v>CCC</v>
      </c>
      <c r="G5" s="14" t="str">
        <f>TUSD!$AN$4</f>
        <v>CDE</v>
      </c>
      <c r="H5" s="14" t="str">
        <f>TUSD!$AO$4</f>
        <v>PROINFA</v>
      </c>
      <c r="I5" s="14" t="str">
        <f>TUSD!$AP$4</f>
        <v>LIMINAR 1</v>
      </c>
      <c r="J5" s="14" t="str">
        <f>TUSD!$AQ$4</f>
        <v>TUSD RB</v>
      </c>
      <c r="K5" s="14" t="str">
        <f>TUSD!$AR$4</f>
        <v>TUSD FR</v>
      </c>
      <c r="L5" s="14" t="str">
        <f>TUSD!$AS$4</f>
        <v>CONEXAO T</v>
      </c>
      <c r="M5" s="14" t="str">
        <f>TUSD!$AT$4</f>
        <v>CONEXAO D</v>
      </c>
      <c r="N5" s="14" t="str">
        <f>TUSD!$AU$4</f>
        <v>CUSD</v>
      </c>
      <c r="O5" s="14" t="str">
        <f>TUSD!$AV$4</f>
        <v>TUSDG-T</v>
      </c>
      <c r="P5" s="14" t="str">
        <f>TUSD!$AW$4</f>
        <v>TUSDG-ONS</v>
      </c>
      <c r="Q5" s="14" t="str">
        <f>TUSD!$AX$4</f>
        <v>DISTRIBUICAO</v>
      </c>
      <c r="R5" s="14" t="str">
        <f>TUSD!$AY$4</f>
        <v>SUBSIDIO</v>
      </c>
      <c r="S5" s="14" t="str">
        <f>TUSD!$AZ$4</f>
        <v>OUTROS</v>
      </c>
      <c r="T5" s="14" t="str">
        <f>TUSD!$BA$4</f>
        <v>PERDAS TECNICAS</v>
      </c>
      <c r="U5" s="14" t="str">
        <f>TUSD!$BB$4</f>
        <v>PERDAS RB/ PERDAS D</v>
      </c>
      <c r="V5" s="14" t="str">
        <f>TUSD!$BC$4</f>
        <v>PERDAS NAO TECNICAS</v>
      </c>
      <c r="W5" s="14" t="str">
        <f>TUSD!$BD$4</f>
        <v>RI</v>
      </c>
      <c r="X5" s="14" t="s">
        <v>405</v>
      </c>
      <c r="AA5" s="14" t="s">
        <v>31</v>
      </c>
      <c r="AB5" s="14" t="s">
        <v>82</v>
      </c>
      <c r="AD5" s="14" t="s">
        <v>29</v>
      </c>
      <c r="AG5" s="14" t="s">
        <v>9</v>
      </c>
    </row>
    <row r="6" spans="1:33" x14ac:dyDescent="0.2">
      <c r="A6" s="14" t="s">
        <v>980</v>
      </c>
      <c r="B6" s="39">
        <f>SUM(TUSD!$AI$57:'TUSD'!$AI$103)</f>
        <v>0</v>
      </c>
      <c r="C6" s="39">
        <f>SUM(TUSD!$AJ$57:'TUSD'!$AJ$103)</f>
        <v>13525.417260917093</v>
      </c>
      <c r="D6" s="39">
        <f>SUM(TUSD!$AK$57:'TUSD'!$AK$103)</f>
        <v>0</v>
      </c>
      <c r="E6" s="39">
        <f>SUM(TUSD!$AL$57:'TUSD'!$AL$103)</f>
        <v>0</v>
      </c>
      <c r="F6" s="39">
        <f>SUM(TUSD!$AM$57:'TUSD'!$AM$103)</f>
        <v>0</v>
      </c>
      <c r="G6" s="39">
        <f>SUM(TUSD!$AN$57:'TUSD'!$AN$103)</f>
        <v>1112770.8545926695</v>
      </c>
      <c r="H6" s="39">
        <f>SUM(TUSD!$AO$57:'TUSD'!$AO$103)</f>
        <v>184609.64577781805</v>
      </c>
      <c r="I6" s="39">
        <f>SUM(TUSD!$AP$57:'TUSD'!$AP$103)</f>
        <v>0</v>
      </c>
      <c r="J6" s="39">
        <f>SUM(TUSD!$AQ$57:'TUSD'!$AQ$103)</f>
        <v>0</v>
      </c>
      <c r="K6" s="39">
        <f>SUM(TUSD!$AR$57:'TUSD'!$AR$103)</f>
        <v>0</v>
      </c>
      <c r="L6" s="39">
        <f>SUM(TUSD!$AS$57:'TUSD'!$AS$103)</f>
        <v>0</v>
      </c>
      <c r="M6" s="39">
        <f>SUM(TUSD!$AT$57:'TUSD'!$AT$103)</f>
        <v>0</v>
      </c>
      <c r="N6" s="39">
        <f>SUM(TUSD!$AU$57:'TUSD'!$AU$103)</f>
        <v>1793722.3662941002</v>
      </c>
      <c r="O6" s="39">
        <f>SUM(TUSD!$AV$57:'TUSD'!$AV$103)</f>
        <v>0</v>
      </c>
      <c r="P6" s="39">
        <f>SUM(TUSD!$AW$57:'TUSD'!$AW$103)</f>
        <v>0</v>
      </c>
      <c r="Q6" s="39">
        <f>SUM(TUSD!$AX$57:'TUSD'!$AX$103)</f>
        <v>1371649.2361244389</v>
      </c>
      <c r="R6" s="39">
        <f>SUM(TUSD!$AY$57:'TUSD'!$AY$103)</f>
        <v>0</v>
      </c>
      <c r="S6" s="39">
        <f>SUM(TUSD!$AZ$57:'TUSD'!$AZ$103)</f>
        <v>0</v>
      </c>
      <c r="T6" s="39">
        <f>SUM(TUSD!$BA$57:'TUSD'!$BA$103)</f>
        <v>266436.64350646874</v>
      </c>
      <c r="U6" s="39">
        <f>SUM(TUSD!$BB$57:'TUSD'!$BB$103)</f>
        <v>0</v>
      </c>
      <c r="V6" s="39">
        <f>SUM(TUSD!$BC$57:'TUSD'!$BC$103)</f>
        <v>0</v>
      </c>
      <c r="W6" s="39">
        <f>SUM(TUSD!$BD$57:'TUSD'!$BD$103)</f>
        <v>0</v>
      </c>
      <c r="X6" s="39">
        <f t="shared" ref="X6:X11" si="0">SUM(B6:W6)</f>
        <v>4742714.1635564119</v>
      </c>
      <c r="AA6" s="14" t="s">
        <v>43</v>
      </c>
      <c r="AB6" s="14" t="s">
        <v>23</v>
      </c>
      <c r="AD6" s="14" t="s">
        <v>30</v>
      </c>
      <c r="AG6" s="14" t="s">
        <v>69</v>
      </c>
    </row>
    <row r="7" spans="1:33" x14ac:dyDescent="0.2">
      <c r="A7" s="14" t="s">
        <v>981</v>
      </c>
      <c r="B7" s="39">
        <f>SUM(TUSD!$L$57:'TUSD'!$L$103)</f>
        <v>0</v>
      </c>
      <c r="C7" s="39">
        <f>SUM(TUSD!$M$57:'TUSD'!$M$103)</f>
        <v>11531.195006887781</v>
      </c>
      <c r="D7" s="39">
        <f ca="1">SUM(TUSD!$N$57:'TUSD'!$N$103)</f>
        <v>0</v>
      </c>
      <c r="E7" s="39">
        <f>SUM(TUSD!$O$57:'TUSD'!$O$103)</f>
        <v>0</v>
      </c>
      <c r="F7" s="39">
        <f>SUM(TUSD!$P$57:'TUSD'!$P$103)</f>
        <v>0</v>
      </c>
      <c r="G7" s="39">
        <f>SUM(TUSD!$Q$57:'TUSD'!$Q$103)</f>
        <v>1322768.9428021223</v>
      </c>
      <c r="H7" s="39">
        <f>SUM(TUSD!$R$57:'TUSD'!$R$103)</f>
        <v>232407.86517380067</v>
      </c>
      <c r="I7" s="39">
        <f>SUM(TUSD!$S$57:'TUSD'!$S$103)</f>
        <v>0</v>
      </c>
      <c r="J7" s="39">
        <f>SUM(TUSD!$T$57:'TUSD'!$T$103)</f>
        <v>0</v>
      </c>
      <c r="K7" s="39">
        <f>SUM(TUSD!$U$57:'TUSD'!$U$103)</f>
        <v>0</v>
      </c>
      <c r="L7" s="39">
        <f>SUM(TUSD!$V$57:'TUSD'!$V$103)</f>
        <v>0</v>
      </c>
      <c r="M7" s="39">
        <f>SUM(TUSD!$W$57:'TUSD'!$W$103)</f>
        <v>0</v>
      </c>
      <c r="N7" s="39">
        <f>SUM(TUSD!$X$57:'TUSD'!$X$103)</f>
        <v>1877775.2027787995</v>
      </c>
      <c r="O7" s="39">
        <f>SUM(TUSD!$Y$57:'TUSD'!$Y$103)</f>
        <v>0</v>
      </c>
      <c r="P7" s="39">
        <f>SUM(TUSD!$Z$57:'TUSD'!$Z$103)</f>
        <v>0</v>
      </c>
      <c r="Q7" s="39">
        <f>SUM(TUSD!$AA$57:'TUSD'!$AA$103)</f>
        <v>1363312.8792191253</v>
      </c>
      <c r="R7" s="39">
        <f ca="1">SUM(TUSD!$AB$57:'TUSD'!$AB$103)</f>
        <v>0</v>
      </c>
      <c r="S7" s="39">
        <f ca="1">SUM(TUSD!$AC$57:'TUSD'!$AC$103)</f>
        <v>0</v>
      </c>
      <c r="T7" s="39">
        <f>SUM(TUSD!$AD$57:'TUSD'!$AD$103)</f>
        <v>192917.29346920972</v>
      </c>
      <c r="U7" s="39">
        <f>SUM(TUSD!$AE$57:'TUSD'!$AE$103)</f>
        <v>0</v>
      </c>
      <c r="V7" s="39">
        <f ca="1">SUM(TUSD!$AF$57:'TUSD'!$AF$103)</f>
        <v>0</v>
      </c>
      <c r="W7" s="39">
        <f ca="1">SUM(TUSD!$AG$57:'TUSD'!$AG$103)</f>
        <v>0</v>
      </c>
      <c r="X7" s="39">
        <f t="shared" ca="1" si="0"/>
        <v>5000713.3784499457</v>
      </c>
      <c r="AB7" s="14" t="s">
        <v>84</v>
      </c>
      <c r="AD7" s="14" t="s">
        <v>85</v>
      </c>
      <c r="AG7" s="14" t="s">
        <v>70</v>
      </c>
    </row>
    <row r="8" spans="1:33" x14ac:dyDescent="0.2">
      <c r="A8" s="14" t="s">
        <v>984</v>
      </c>
      <c r="B8" s="39">
        <f>IF($G$2&lt;&gt;"Não se aplica",SUMIF(TUSD!$G$57:'TUSD'!$G$103,$I$2,TUSD!$AI$57:'TUSD'!$AI$103),IF($F$2&lt;&gt;"Não se aplica",SUMIF(TUSD!$F$57:'TUSD'!$F$103,$I$2,TUSD!$AI$57:'TUSD'!$AI$103),IF($E$2&lt;&gt;"Não se aplica",SUMIF(TUSD!$E$57:'TUSD'!$E$103,$I$2,TUSD!$AI$57:'TUSD'!$AI$103),IF($D$2&lt;&gt;"Não se aplica",SUMIF(TUSD!$D$57:'TUSD'!$D$103,$I$2,TUSD!$AI$57:'TUSD'!$AI$103),IF($C$2&lt;&gt;"Não se aplica",SUMIF(TUSD!$C$57:'TUSD'!$C$103,$I$2,TUSD!$AI$57:'TUSD'!$AI$103),IF($B$2&lt;&gt;"Não se aplica",SUMIF(TUSD!$B$57:'TUSD'!$B$103,$I$2,TUSD!$AI$57:'TUSD'!$AI$103),SUMIF(TUSD!$A$57:'TUSD'!$A$103,$I$2,TUSD!$AI$57:'TUSD'!$AI$103)))))))</f>
        <v>0</v>
      </c>
      <c r="C8" s="39">
        <f>IF($G$2&lt;&gt;"Não se aplica",SUMIF(TUSD!$G$57:'TUSD'!$G$103,$I$2,TUSD!$AJ$57:'TUSD'!$AJ$103),IF($F$2&lt;&gt;"Não se aplica",SUMIF(TUSD!$F$57:'TUSD'!$F$103,$I$2,TUSD!$AJ$57:'TUSD'!$AJ$103),IF($E$2&lt;&gt;"Não se aplica",SUMIF(TUSD!$E$57:'TUSD'!$E$103,$I$2,TUSD!$AJ$57:'TUSD'!$AJ$103),IF($D$2&lt;&gt;"Não se aplica",SUMIF(TUSD!$D$57:'TUSD'!$D$103,$I$2,TUSD!$AJ$57:'TUSD'!$AJ$103),IF($C$2&lt;&gt;"Não se aplica",SUMIF(TUSD!$C$57:'TUSD'!$C$103,$I$2,TUSD!$AJ$57:'TUSD'!$AJ$103),IF($B$2&lt;&gt;"Não se aplica",SUMIF(TUSD!$B$57:'TUSD'!$B$103,$I$2,TUSD!$AJ$57:'TUSD'!$AJ$103),SUMIF(TUSD!$A$57:'TUSD'!$A$103,$I$2,TUSD!$AJ$57:'TUSD'!$AJ$103)))))))</f>
        <v>7596.9456933113688</v>
      </c>
      <c r="D8" s="39">
        <f>IF($G$2&lt;&gt;"Não se aplica",SUMIF(TUSD!$G$57:'TUSD'!$G$103,$I$2,TUSD!$AK$57:'TUSD'!$AK$103),IF($F$2&lt;&gt;"Não se aplica",SUMIF(TUSD!$F$57:'TUSD'!$F$103,$I$2,TUSD!$AK$57:'TUSD'!$AK$103),IF($E$2&lt;&gt;"Não se aplica",SUMIF(TUSD!$E$57:'TUSD'!$E$103,$I$2,TUSD!$AK$57:'TUSD'!$AK$103),IF($D$2&lt;&gt;"Não se aplica",SUMIF(TUSD!$D$57:'TUSD'!$D$103,$I$2,TUSD!$AK$57:'TUSD'!$AK$103),IF($C$2&lt;&gt;"Não se aplica",SUMIF(TUSD!$C$57:'TUSD'!$C$103,$I$2,TUSD!$AK$57:'TUSD'!$AK$103),IF($B$2&lt;&gt;"Não se aplica",SUMIF(TUSD!$B$57:'TUSD'!$B$103,$I$2,TUSD!$AK$57:'TUSD'!$AK$103),SUMIF(TUSD!$A$57:'TUSD'!$A$103,$I$2,TUSD!$AK$57:'TUSD'!$AK$103)))))))</f>
        <v>0</v>
      </c>
      <c r="E8" s="39">
        <f>IF($G$2&lt;&gt;"Não se aplica",SUMIF(TUSD!$G$57:'TUSD'!$G$103,$I$2,TUSD!$AL$57:'TUSD'!$AL$103),IF($F$2&lt;&gt;"Não se aplica",SUMIF(TUSD!$F$57:'TUSD'!$F$103,$I$2,TUSD!$AL$57:'TUSD'!$AL$103),IF($E$2&lt;&gt;"Não se aplica",SUMIF(TUSD!$E$57:'TUSD'!$E$103,$I$2,TUSD!$AL$57:'TUSD'!$AL$103),IF($D$2&lt;&gt;"Não se aplica",SUMIF(TUSD!$D$57:'TUSD'!$D$103,$I$2,TUSD!$AL$57:'TUSD'!$AL$103),IF($C$2&lt;&gt;"Não se aplica",SUMIF(TUSD!$C$57:'TUSD'!$C$103,$I$2,TUSD!$AL$57:'TUSD'!$AL$103),IF($B$2&lt;&gt;"Não se aplica",SUMIF(TUSD!$B$57:'TUSD'!$B$103,$I$2,TUSD!$AL$57:'TUSD'!$AL$103),SUMIF(TUSD!$A$57:'TUSD'!$A$103,$I$2,TUSD!$AL$57:'TUSD'!$AL$103)))))))</f>
        <v>0</v>
      </c>
      <c r="F8" s="39">
        <f>IF($G$2&lt;&gt;"Não se aplica",SUMIF(TUSD!$G$57:'TUSD'!$G$103,$I$2,TUSD!$AM$57:'TUSD'!$AM$103),IF($F$2&lt;&gt;"Não se aplica",SUMIF(TUSD!$F$57:'TUSD'!$F$103,$I$2,TUSD!$AM$57:'TUSD'!$AM$103),IF($E$2&lt;&gt;"Não se aplica",SUMIF(TUSD!$E$57:'TUSD'!$E$103,$I$2,TUSD!$AM$57:'TUSD'!$AM$103),IF($D$2&lt;&gt;"Não se aplica",SUMIF(TUSD!$D$57:'TUSD'!$D$103,$I$2,TUSD!$AM$57:'TUSD'!$AM$103),IF($C$2&lt;&gt;"Não se aplica",SUMIF(TUSD!$C$57:'TUSD'!$C$103,$I$2,TUSD!$AM$57:'TUSD'!$AM$103),IF($B$2&lt;&gt;"Não se aplica",SUMIF(TUSD!$B$57:'TUSD'!$B$103,$I$2,TUSD!$AM$57:'TUSD'!$AM$103),SUMIF(TUSD!$A$57:'TUSD'!$A$103,$I$2,TUSD!$AM$57:'TUSD'!$AM$103)))))))</f>
        <v>0</v>
      </c>
      <c r="G8" s="39">
        <f>IF($G$2&lt;&gt;"Não se aplica",SUMIF(TUSD!$G$57:'TUSD'!$G$103,$I$2,TUSD!$AN$57:'TUSD'!$AN$103),IF($F$2&lt;&gt;"Não se aplica",SUMIF(TUSD!$F$57:'TUSD'!$F$103,$I$2,TUSD!$AN$57:'TUSD'!$AN$103),IF($E$2&lt;&gt;"Não se aplica",SUMIF(TUSD!$E$57:'TUSD'!$E$103,$I$2,TUSD!$AN$57:'TUSD'!$AN$103),IF($D$2&lt;&gt;"Não se aplica",SUMIF(TUSD!$D$57:'TUSD'!$D$103,$I$2,TUSD!$AN$57:'TUSD'!$AN$103),IF($C$2&lt;&gt;"Não se aplica",SUMIF(TUSD!$C$57:'TUSD'!$C$103,$I$2,TUSD!$AN$57:'TUSD'!$AN$103),IF($B$2&lt;&gt;"Não se aplica",SUMIF(TUSD!$B$57:'TUSD'!$B$103,$I$2,TUSD!$AN$57:'TUSD'!$AN$103),SUMIF(TUSD!$A$57:'TUSD'!$A$103,$I$2,TUSD!$AN$57:'TUSD'!$AN$103)))))))</f>
        <v>692743.50705468026</v>
      </c>
      <c r="H8" s="39">
        <f>IF($G$2&lt;&gt;"Não se aplica",SUMIF(TUSD!$G$57:'TUSD'!$G$103,$I$2,TUSD!$AO$57:'TUSD'!$AO$103),IF($F$2&lt;&gt;"Não se aplica",SUMIF(TUSD!$F$57:'TUSD'!$F$103,$I$2,TUSD!$AO$57:'TUSD'!$AO$103),IF($E$2&lt;&gt;"Não se aplica",SUMIF(TUSD!$E$57:'TUSD'!$E$103,$I$2,TUSD!$AO$57:'TUSD'!$AO$103),IF($D$2&lt;&gt;"Não se aplica",SUMIF(TUSD!$D$57:'TUSD'!$D$103,$I$2,TUSD!$AO$57:'TUSD'!$AO$103),IF($C$2&lt;&gt;"Não se aplica",SUMIF(TUSD!$C$57:'TUSD'!$C$103,$I$2,TUSD!$AO$57:'TUSD'!$AO$103),IF($B$2&lt;&gt;"Não se aplica",SUMIF(TUSD!$B$57:'TUSD'!$B$103,$I$2,TUSD!$AO$57:'TUSD'!$AO$103),SUMIF(TUSD!$A$57:'TUSD'!$A$103,$I$2,TUSD!$AO$57:'TUSD'!$AO$103)))))))</f>
        <v>120857.19670530688</v>
      </c>
      <c r="I8" s="39">
        <f>IF($G$2&lt;&gt;"Não se aplica",SUMIF(TUSD!$G$57:'TUSD'!$G$103,$I$2,TUSD!$AP$57:'TUSD'!$AP$103),IF($F$2&lt;&gt;"Não se aplica",SUMIF(TUSD!$F$57:'TUSD'!$F$103,$I$2,TUSD!$AP$57:'TUSD'!$AP$103),IF($E$2&lt;&gt;"Não se aplica",SUMIF(TUSD!$E$57:'TUSD'!$E$103,$I$2,TUSD!$AP$57:'TUSD'!$AP$103),IF($D$2&lt;&gt;"Não se aplica",SUMIF(TUSD!$D$57:'TUSD'!$D$103,$I$2,TUSD!$AP$57:'TUSD'!$AP$103),IF($C$2&lt;&gt;"Não se aplica",SUMIF(TUSD!$C$57:'TUSD'!$C$103,$I$2,TUSD!$AP$57:'TUSD'!$AP$103),IF($B$2&lt;&gt;"Não se aplica",SUMIF(TUSD!$B$57:'TUSD'!$B$103,$I$2,TUSD!$AP$57:'TUSD'!$AP$103),SUMIF(TUSD!$A$57:'TUSD'!$A$103,$I$2,TUSD!$AP$57:'TUSD'!$AP$103)))))))</f>
        <v>0</v>
      </c>
      <c r="J8" s="39">
        <f>IF($G$2&lt;&gt;"Não se aplica",SUMIF(TUSD!$G$57:'TUSD'!$G$103,$I$2,TUSD!$AQ$57:'TUSD'!$AQ$103),IF($F$2&lt;&gt;"Não se aplica",SUMIF(TUSD!$F$57:'TUSD'!$F$103,$I$2,TUSD!$AQ$57:'TUSD'!$AQ$103),IF($E$2&lt;&gt;"Não se aplica",SUMIF(TUSD!$E$57:'TUSD'!$E$103,$I$2,TUSD!$AQ$57:'TUSD'!$AQ$103),IF($D$2&lt;&gt;"Não se aplica",SUMIF(TUSD!$D$57:'TUSD'!$D$103,$I$2,TUSD!$AQ$57:'TUSD'!$AQ$103),IF($C$2&lt;&gt;"Não se aplica",SUMIF(TUSD!$C$57:'TUSD'!$C$103,$I$2,TUSD!$AQ$57:'TUSD'!$AQ$103),IF($B$2&lt;&gt;"Não se aplica",SUMIF(TUSD!$B$57:'TUSD'!$B$103,$I$2,TUSD!$AQ$57:'TUSD'!$AQ$103),SUMIF(TUSD!$A$57:'TUSD'!$A$103,$I$2,TUSD!$AQ$57:'TUSD'!$AQ$103)))))))</f>
        <v>0</v>
      </c>
      <c r="K8" s="39">
        <f>IF($G$2&lt;&gt;"Não se aplica",SUMIF(TUSD!$G$57:'TUSD'!$G$103,$I$2,TUSD!$AR$57:'TUSD'!$AR$103),IF($F$2&lt;&gt;"Não se aplica",SUMIF(TUSD!$F$57:'TUSD'!$F$103,$I$2,TUSD!$AR$57:'TUSD'!$AR$103),IF($E$2&lt;&gt;"Não se aplica",SUMIF(TUSD!$E$57:'TUSD'!$E$103,$I$2,TUSD!$AR$57:'TUSD'!$AR$103),IF($D$2&lt;&gt;"Não se aplica",SUMIF(TUSD!$D$57:'TUSD'!$D$103,$I$2,TUSD!$AR$57:'TUSD'!$AR$103),IF($C$2&lt;&gt;"Não se aplica",SUMIF(TUSD!$C$57:'TUSD'!$C$103,$I$2,TUSD!$AR$57:'TUSD'!$AR$103),IF($B$2&lt;&gt;"Não se aplica",SUMIF(TUSD!$B$57:'TUSD'!$B$103,$I$2,TUSD!$AR$57:'TUSD'!$AR$103),SUMIF(TUSD!$A$57:'TUSD'!$A$103,$I$2,TUSD!$AR$57:'TUSD'!$AR$103)))))))</f>
        <v>0</v>
      </c>
      <c r="L8" s="39">
        <f>IF($G$2&lt;&gt;"Não se aplica",SUMIF(TUSD!$G$57:'TUSD'!$G$103,$I$2,TUSD!$AS$57:'TUSD'!$AS$103),IF($F$2&lt;&gt;"Não se aplica",SUMIF(TUSD!$F$57:'TUSD'!$F$103,$I$2,TUSD!$AS$57:'TUSD'!$AS$103),IF($E$2&lt;&gt;"Não se aplica",SUMIF(TUSD!$E$57:'TUSD'!$E$103,$I$2,TUSD!$AS$57:'TUSD'!$AS$103),IF($D$2&lt;&gt;"Não se aplica",SUMIF(TUSD!$D$57:'TUSD'!$D$103,$I$2,TUSD!$AS$57:'TUSD'!$AS$103),IF($C$2&lt;&gt;"Não se aplica",SUMIF(TUSD!$C$57:'TUSD'!$C$103,$I$2,TUSD!$AS$57:'TUSD'!$AS$103),IF($B$2&lt;&gt;"Não se aplica",SUMIF(TUSD!$B$57:'TUSD'!$B$103,$I$2,TUSD!$AS$57:'TUSD'!$AS$103),SUMIF(TUSD!$A$57:'TUSD'!$A$103,$I$2,TUSD!$AS$57:'TUSD'!$AS$103)))))))</f>
        <v>0</v>
      </c>
      <c r="M8" s="39">
        <f>IF($G$2&lt;&gt;"Não se aplica",SUMIF(TUSD!$G$57:'TUSD'!$G$103,$I$2,TUSD!$AT$57:'TUSD'!$AT$103),IF($F$2&lt;&gt;"Não se aplica",SUMIF(TUSD!$F$57:'TUSD'!$F$103,$I$2,TUSD!$AT$57:'TUSD'!$AT$103),IF($E$2&lt;&gt;"Não se aplica",SUMIF(TUSD!$E$57:'TUSD'!$E$103,$I$2,TUSD!$AT$57:'TUSD'!$AT$103),IF($D$2&lt;&gt;"Não se aplica",SUMIF(TUSD!$D$57:'TUSD'!$D$103,$I$2,TUSD!$AT$57:'TUSD'!$AT$103),IF($C$2&lt;&gt;"Não se aplica",SUMIF(TUSD!$C$57:'TUSD'!$C$103,$I$2,TUSD!$AT$57:'TUSD'!$AT$103),IF($B$2&lt;&gt;"Não se aplica",SUMIF(TUSD!$B$57:'TUSD'!$B$103,$I$2,TUSD!$AT$57:'TUSD'!$AT$103),SUMIF(TUSD!$A$57:'TUSD'!$A$103,$I$2,TUSD!$AT$57:'TUSD'!$AT$103)))))))</f>
        <v>0</v>
      </c>
      <c r="N8" s="39">
        <f>IF($G$2&lt;&gt;"Não se aplica",SUMIF(TUSD!$G$57:'TUSD'!$G$103,$I$2,TUSD!$AU$57:'TUSD'!$AU$103),IF($F$2&lt;&gt;"Não se aplica",SUMIF(TUSD!$F$57:'TUSD'!$F$103,$I$2,TUSD!$AU$57:'TUSD'!$AU$103),IF($E$2&lt;&gt;"Não se aplica",SUMIF(TUSD!$E$57:'TUSD'!$E$103,$I$2,TUSD!$AU$57:'TUSD'!$AU$103),IF($D$2&lt;&gt;"Não se aplica",SUMIF(TUSD!$D$57:'TUSD'!$D$103,$I$2,TUSD!$AU$57:'TUSD'!$AU$103),IF($C$2&lt;&gt;"Não se aplica",SUMIF(TUSD!$C$57:'TUSD'!$C$103,$I$2,TUSD!$AU$57:'TUSD'!$AU$103),IF($B$2&lt;&gt;"Não se aplica",SUMIF(TUSD!$B$57:'TUSD'!$B$103,$I$2,TUSD!$AU$57:'TUSD'!$AU$103),SUMIF(TUSD!$A$57:'TUSD'!$A$103,$I$2,TUSD!$AU$57:'TUSD'!$AU$103)))))))</f>
        <v>1206948.4264181475</v>
      </c>
      <c r="O8" s="39">
        <f>IF($G$2&lt;&gt;"Não se aplica",SUMIF(TUSD!$G$57:'TUSD'!$G$103,$I$2,TUSD!$AV$57:'TUSD'!$AV$103),IF($F$2&lt;&gt;"Não se aplica",SUMIF(TUSD!$F$57:'TUSD'!$F$103,$I$2,TUSD!$AV$57:'TUSD'!$AV$103),IF($E$2&lt;&gt;"Não se aplica",SUMIF(TUSD!$E$57:'TUSD'!$E$103,$I$2,TUSD!$AV$57:'TUSD'!$AV$103),IF($D$2&lt;&gt;"Não se aplica",SUMIF(TUSD!$D$57:'TUSD'!$D$103,$I$2,TUSD!$AV$57:'TUSD'!$AV$103),IF($C$2&lt;&gt;"Não se aplica",SUMIF(TUSD!$C$57:'TUSD'!$C$103,$I$2,TUSD!$AV$57:'TUSD'!$AV$103),IF($B$2&lt;&gt;"Não se aplica",SUMIF(TUSD!$B$57:'TUSD'!$B$103,$I$2,TUSD!$AV$57:'TUSD'!$AV$103),SUMIF(TUSD!$A$57:'TUSD'!$A$103,$I$2,TUSD!$AV$57:'TUSD'!$AV$103)))))))</f>
        <v>0</v>
      </c>
      <c r="P8" s="39">
        <f>IF($G$2&lt;&gt;"Não se aplica",SUMIF(TUSD!$G$57:'TUSD'!$G$103,$I$2,TUSD!$AW$57:'TUSD'!$AW$103),IF($F$2&lt;&gt;"Não se aplica",SUMIF(TUSD!$F$57:'TUSD'!$F$103,$I$2,TUSD!$AW$57:'TUSD'!$AW$103),IF($E$2&lt;&gt;"Não se aplica",SUMIF(TUSD!$E$57:'TUSD'!$E$103,$I$2,TUSD!$AW$57:'TUSD'!$AW$103),IF($D$2&lt;&gt;"Não se aplica",SUMIF(TUSD!$D$57:'TUSD'!$D$103,$I$2,TUSD!$AW$57:'TUSD'!$AW$103),IF($C$2&lt;&gt;"Não se aplica",SUMIF(TUSD!$C$57:'TUSD'!$C$103,$I$2,TUSD!$AW$57:'TUSD'!$AW$103),IF($B$2&lt;&gt;"Não se aplica",SUMIF(TUSD!$B$57:'TUSD'!$B$103,$I$2,TUSD!$AW$57:'TUSD'!$AW$103),SUMIF(TUSD!$A$57:'TUSD'!$A$103,$I$2,TUSD!$AW$57:'TUSD'!$AW$103)))))))</f>
        <v>0</v>
      </c>
      <c r="Q8" s="39">
        <f>IF($G$2&lt;&gt;"Não se aplica",SUMIF(TUSD!$G$57:'TUSD'!$G$103,$I$2,TUSD!$AX$57:'TUSD'!$AX$103),IF($F$2&lt;&gt;"Não se aplica",SUMIF(TUSD!$F$57:'TUSD'!$F$103,$I$2,TUSD!$AX$57:'TUSD'!$AX$103),IF($E$2&lt;&gt;"Não se aplica",SUMIF(TUSD!$E$57:'TUSD'!$E$103,$I$2,TUSD!$AX$57:'TUSD'!$AX$103),IF($D$2&lt;&gt;"Não se aplica",SUMIF(TUSD!$D$57:'TUSD'!$D$103,$I$2,TUSD!$AX$57:'TUSD'!$AX$103),IF($C$2&lt;&gt;"Não se aplica",SUMIF(TUSD!$C$57:'TUSD'!$C$103,$I$2,TUSD!$AX$57:'TUSD'!$AX$103),IF($B$2&lt;&gt;"Não se aplica",SUMIF(TUSD!$B$57:'TUSD'!$B$103,$I$2,TUSD!$AX$57:'TUSD'!$AX$103),SUMIF(TUSD!$A$57:'TUSD'!$A$103,$I$2,TUSD!$AX$57:'TUSD'!$AX$103)))))))</f>
        <v>796528.2268506994</v>
      </c>
      <c r="R8" s="39">
        <f>IF($G$2&lt;&gt;"Não se aplica",SUMIF(TUSD!$G$57:'TUSD'!$G$103,$I$2,TUSD!$AY$57:'TUSD'!$AY$103),IF($F$2&lt;&gt;"Não se aplica",SUMIF(TUSD!$F$57:'TUSD'!$F$103,$I$2,TUSD!$AY$57:'TUSD'!$AY$103),IF($E$2&lt;&gt;"Não se aplica",SUMIF(TUSD!$E$57:'TUSD'!$E$103,$I$2,TUSD!$AY$57:'TUSD'!$AY$103),IF($D$2&lt;&gt;"Não se aplica",SUMIF(TUSD!$D$57:'TUSD'!$D$103,$I$2,TUSD!$AY$57:'TUSD'!$AY$103),IF($C$2&lt;&gt;"Não se aplica",SUMIF(TUSD!$C$57:'TUSD'!$C$103,$I$2,TUSD!$AY$57:'TUSD'!$AY$103),IF($B$2&lt;&gt;"Não se aplica",SUMIF(TUSD!$B$57:'TUSD'!$B$103,$I$2,TUSD!$AY$57:'TUSD'!$AY$103),SUMIF(TUSD!$A$57:'TUSD'!$A$103,$I$2,TUSD!$AY$57:'TUSD'!$AY$103)))))))</f>
        <v>0</v>
      </c>
      <c r="S8" s="39">
        <f>IF($G$2&lt;&gt;"Não se aplica",SUMIF(TUSD!$G$57:'TUSD'!$G$103,$I$2,TUSD!$AZ$57:'TUSD'!$AZ$103),IF($F$2&lt;&gt;"Não se aplica",SUMIF(TUSD!$F$57:'TUSD'!$F$103,$I$2,TUSD!$AZ$57:'TUSD'!$AZ$103),IF($E$2&lt;&gt;"Não se aplica",SUMIF(TUSD!$E$57:'TUSD'!$E$103,$I$2,TUSD!$AZ$57:'TUSD'!$AZ$103),IF($D$2&lt;&gt;"Não se aplica",SUMIF(TUSD!$D$57:'TUSD'!$D$103,$I$2,TUSD!$AZ$57:'TUSD'!$AZ$103),IF($C$2&lt;&gt;"Não se aplica",SUMIF(TUSD!$C$57:'TUSD'!$C$103,$I$2,TUSD!$AZ$57:'TUSD'!$AZ$103),IF($B$2&lt;&gt;"Não se aplica",SUMIF(TUSD!$B$57:'TUSD'!$B$103,$I$2,TUSD!$AZ$57:'TUSD'!$AZ$103),SUMIF(TUSD!$A$57:'TUSD'!$A$103,$I$2,TUSD!$AZ$57:'TUSD'!$AZ$103)))))))</f>
        <v>0</v>
      </c>
      <c r="T8" s="39">
        <f>IF($G$2&lt;&gt;"Não se aplica",SUMIF(TUSD!$G$57:'TUSD'!$G$103,$I$2,TUSD!$BA$57:'TUSD'!$BA$103),IF($F$2&lt;&gt;"Não se aplica",SUMIF(TUSD!$F$57:'TUSD'!$F$103,$I$2,TUSD!$BA$57:'TUSD'!$BA$103),IF($E$2&lt;&gt;"Não se aplica",SUMIF(TUSD!$E$57:'TUSD'!$E$103,$I$2,TUSD!$BA$57:'TUSD'!$BA$103),IF($D$2&lt;&gt;"Não se aplica",SUMIF(TUSD!$D$57:'TUSD'!$D$103,$I$2,TUSD!$BA$57:'TUSD'!$BA$103),IF($C$2&lt;&gt;"Não se aplica",SUMIF(TUSD!$C$57:'TUSD'!$C$103,$I$2,TUSD!$BA$57:'TUSD'!$BA$103),IF($B$2&lt;&gt;"Não se aplica",SUMIF(TUSD!$B$57:'TUSD'!$B$103,$I$2,TUSD!$BA$57:'TUSD'!$BA$103),SUMIF(TUSD!$A$57:'TUSD'!$A$103,$I$2,TUSD!$BA$57:'TUSD'!$BA$103)))))))</f>
        <v>112481.02322694921</v>
      </c>
      <c r="U8" s="39">
        <f>IF($G$2&lt;&gt;"Não se aplica",SUMIF(TUSD!$G$57:'TUSD'!$G$103,$I$2,TUSD!$BB$57:'TUSD'!$BB$103),IF($F$2&lt;&gt;"Não se aplica",SUMIF(TUSD!$F$57:'TUSD'!$F$103,$I$2,TUSD!$BB$57:'TUSD'!$BB$103),IF($E$2&lt;&gt;"Não se aplica",SUMIF(TUSD!$E$57:'TUSD'!$E$103,$I$2,TUSD!$BB$57:'TUSD'!$BB$103),IF($D$2&lt;&gt;"Não se aplica",SUMIF(TUSD!$D$57:'TUSD'!$D$103,$I$2,TUSD!$BB$57:'TUSD'!$BB$103),IF($C$2&lt;&gt;"Não se aplica",SUMIF(TUSD!$C$57:'TUSD'!$C$103,$I$2,TUSD!$BB$57:'TUSD'!$BB$103),IF($B$2&lt;&gt;"Não se aplica",SUMIF(TUSD!$B$57:'TUSD'!$B$103,$I$2,TUSD!$BB$57:'TUSD'!$BB$103),SUMIF(TUSD!$A$57:'TUSD'!$A$103,$I$2,TUSD!$BB$57:'TUSD'!$BB$103)))))))</f>
        <v>0</v>
      </c>
      <c r="V8" s="39">
        <f>IF($G$2&lt;&gt;"Não se aplica",SUMIF(TUSD!$G$57:'TUSD'!$G$103,$I$2,TUSD!$BC$57:'TUSD'!$BC$103),IF($F$2&lt;&gt;"Não se aplica",SUMIF(TUSD!$F$57:'TUSD'!$F$103,$I$2,TUSD!$BC$57:'TUSD'!$BC$103),IF($E$2&lt;&gt;"Não se aplica",SUMIF(TUSD!$E$57:'TUSD'!$E$103,$I$2,TUSD!$BC$57:'TUSD'!$BC$103),IF($D$2&lt;&gt;"Não se aplica",SUMIF(TUSD!$D$57:'TUSD'!$D$103,$I$2,TUSD!$BC$57:'TUSD'!$BC$103),IF($C$2&lt;&gt;"Não se aplica",SUMIF(TUSD!$C$57:'TUSD'!$C$103,$I$2,TUSD!$BC$57:'TUSD'!$BC$103),IF($B$2&lt;&gt;"Não se aplica",SUMIF(TUSD!$B$57:'TUSD'!$B$103,$I$2,TUSD!$BC$57:'TUSD'!$BC$103),SUMIF(TUSD!$A$57:'TUSD'!$A$103,$I$2,TUSD!$BC$57:'TUSD'!$BC$103)))))))</f>
        <v>0</v>
      </c>
      <c r="W8" s="39">
        <f>IF($G$2&lt;&gt;"Não se aplica",SUMIF(TUSD!$G$57:'TUSD'!$G$103,$I$2,TUSD!$BD$57:'TUSD'!$BD$103),IF($F$2&lt;&gt;"Não se aplica",SUMIF(TUSD!$F$57:'TUSD'!$F$103,$I$2,TUSD!$BD$57:'TUSD'!$BD$103),IF($E$2&lt;&gt;"Não se aplica",SUMIF(TUSD!$E$57:'TUSD'!$E$103,$I$2,TUSD!$BD$57:'TUSD'!$BD$103),IF($D$2&lt;&gt;"Não se aplica",SUMIF(TUSD!$D$57:'TUSD'!$D$103,$I$2,TUSD!$BD$57:'TUSD'!$BD$103),IF($C$2&lt;&gt;"Não se aplica",SUMIF(TUSD!$C$57:'TUSD'!$C$103,$I$2,TUSD!$BD$57:'TUSD'!$BD$103),IF($B$2&lt;&gt;"Não se aplica",SUMIF(TUSD!$B$57:'TUSD'!$B$103,$I$2,TUSD!$BD$57:'TUSD'!$BD$103),SUMIF(TUSD!$A$57:'TUSD'!$A$103,$I$2,TUSD!$BD$57:'TUSD'!$BD$103)))))))</f>
        <v>0</v>
      </c>
      <c r="X8" s="39">
        <f t="shared" si="0"/>
        <v>2937155.3259490952</v>
      </c>
      <c r="AD8" s="14" t="s">
        <v>86</v>
      </c>
      <c r="AG8" s="14" t="s">
        <v>80</v>
      </c>
    </row>
    <row r="9" spans="1:33" x14ac:dyDescent="0.2">
      <c r="A9" s="14" t="s">
        <v>985</v>
      </c>
      <c r="B9" s="39">
        <f>IF($G$2&lt;&gt;"Não se aplica",SUMIF(TUSD!$G$57:'TUSD'!$G$103,$I$2,TUSD!$L$57:'TUSD'!$L$103),IF($F$2&lt;&gt;"Não se aplica",SUMIF(TUSD!$F$57:'TUSD'!$F$103,$I$2,TUSD!$L$57:'TUSD'!$L$103),IF($E$2&lt;&gt;"Não se aplica",SUMIF(TUSD!$E$57:'TUSD'!$E$103,$I$2,TUSD!$L$57:'TUSD'!$L$103),IF($D$2&lt;&gt;"Não se aplica",SUMIF(TUSD!$D$57:'TUSD'!$D$103,$I$2,TUSD!$L$57:'TUSD'!$L$103),IF($C$2&lt;&gt;"Não se aplica",SUMIF(TUSD!$C$57:'TUSD'!$C$103,$I$2,TUSD!$L$57:'TUSD'!$L$103),IF($B$2&lt;&gt;"Não se aplica",SUMIF(TUSD!$B$57:'TUSD'!$B$103,$I$2,TUSD!$L$57:'TUSD'!$L$103),SUMIF(TUSD!$A$57:'TUSD'!$A$103,$I$2,TUSD!$L$57:'TUSD'!$L$103)))))))</f>
        <v>0</v>
      </c>
      <c r="C9" s="39">
        <f>IF($G$2&lt;&gt;"Não se aplica",SUMIF(TUSD!$G$57:'TUSD'!$G$103,$I$2,TUSD!$M$57:'TUSD'!$M$103),IF($F$2&lt;&gt;"Não se aplica",SUMIF(TUSD!$F$57:'TUSD'!$F$103,$I$2,TUSD!$M$57:'TUSD'!$M$103),IF($E$2&lt;&gt;"Não se aplica",SUMIF(TUSD!$E$57:'TUSD'!$E$103,$I$2,TUSD!$M$57:'TUSD'!$M$103),IF($D$2&lt;&gt;"Não se aplica",SUMIF(TUSD!$D$57:'TUSD'!$D$103,$I$2,TUSD!$M$57:'TUSD'!$M$103),IF($C$2&lt;&gt;"Não se aplica",SUMIF(TUSD!$C$57:'TUSD'!$C$103,$I$2,TUSD!$M$57:'TUSD'!$M$103),IF($B$2&lt;&gt;"Não se aplica",SUMIF(TUSD!$B$57:'TUSD'!$B$103,$I$2,TUSD!$M$57:'TUSD'!$M$103),SUMIF(TUSD!$A$57:'TUSD'!$A$103,$I$2,TUSD!$M$57:'TUSD'!$M$103)))))))</f>
        <v>6537.765535668269</v>
      </c>
      <c r="D9" s="39">
        <f ca="1">IF($G$2&lt;&gt;"Não se aplica",SUMIF(TUSD!$G$57:'TUSD'!$G$103,$I$2,TUSD!$N$57:'TUSD'!$N$103),IF($F$2&lt;&gt;"Não se aplica",SUMIF(TUSD!$F$57:'TUSD'!$F$103,$I$2,TUSD!$N$57:'TUSD'!$N$103),IF($E$2&lt;&gt;"Não se aplica",SUMIF(TUSD!$E$57:'TUSD'!$E$103,$I$2,TUSD!$N$57:'TUSD'!$N$103),IF($D$2&lt;&gt;"Não se aplica",SUMIF(TUSD!$D$57:'TUSD'!$D$103,$I$2,TUSD!$N$57:'TUSD'!$N$103),IF($C$2&lt;&gt;"Não se aplica",SUMIF(TUSD!$C$57:'TUSD'!$C$103,$I$2,TUSD!$N$57:'TUSD'!$N$103),IF($B$2&lt;&gt;"Não se aplica",SUMIF(TUSD!$B$57:'TUSD'!$B$103,$I$2,TUSD!$N$57:'TUSD'!$N$103),SUMIF(TUSD!$A$57:'TUSD'!$A$103,$I$2,TUSD!$N$57:'TUSD'!$N$103)))))))</f>
        <v>0</v>
      </c>
      <c r="E9" s="39">
        <f>IF($G$2&lt;&gt;"Não se aplica",SUMIF(TUSD!$G$57:'TUSD'!$G$103,$I$2,TUSD!$O$57:'TUSD'!$O$103),IF($F$2&lt;&gt;"Não se aplica",SUMIF(TUSD!$F$57:'TUSD'!$F$103,$I$2,TUSD!$O$57:'TUSD'!$O$103),IF($E$2&lt;&gt;"Não se aplica",SUMIF(TUSD!$E$57:'TUSD'!$E$103,$I$2,TUSD!$O$57:'TUSD'!$O$103),IF($D$2&lt;&gt;"Não se aplica",SUMIF(TUSD!$D$57:'TUSD'!$D$103,$I$2,TUSD!$O$57:'TUSD'!$O$103),IF($C$2&lt;&gt;"Não se aplica",SUMIF(TUSD!$C$57:'TUSD'!$C$103,$I$2,TUSD!$O$57:'TUSD'!$O$103),IF($B$2&lt;&gt;"Não se aplica",SUMIF(TUSD!$B$57:'TUSD'!$B$103,$I$2,TUSD!$O$57:'TUSD'!$O$103),SUMIF(TUSD!$A$57:'TUSD'!$A$103,$I$2,TUSD!$O$57:'TUSD'!$O$103)))))))</f>
        <v>0</v>
      </c>
      <c r="F9" s="39">
        <f>IF($G$2&lt;&gt;"Não se aplica",SUMIF(TUSD!$G$57:'TUSD'!$G$103,$I$2,TUSD!$P$57:'TUSD'!$P$103),IF($F$2&lt;&gt;"Não se aplica",SUMIF(TUSD!$F$57:'TUSD'!$F$103,$I$2,TUSD!$P$57:'TUSD'!$P$103),IF($E$2&lt;&gt;"Não se aplica",SUMIF(TUSD!$E$57:'TUSD'!$E$103,$I$2,TUSD!$P$57:'TUSD'!$P$103),IF($D$2&lt;&gt;"Não se aplica",SUMIF(TUSD!$D$57:'TUSD'!$D$103,$I$2,TUSD!$P$57:'TUSD'!$P$103),IF($C$2&lt;&gt;"Não se aplica",SUMIF(TUSD!$C$57:'TUSD'!$C$103,$I$2,TUSD!$P$57:'TUSD'!$P$103),IF($B$2&lt;&gt;"Não se aplica",SUMIF(TUSD!$B$57:'TUSD'!$B$103,$I$2,TUSD!$P$57:'TUSD'!$P$103),SUMIF(TUSD!$A$57:'TUSD'!$A$103,$I$2,TUSD!$P$57:'TUSD'!$P$103)))))))</f>
        <v>0</v>
      </c>
      <c r="G9" s="39">
        <f>IF($G$2&lt;&gt;"Não se aplica",SUMIF(TUSD!$G$57:'TUSD'!$G$103,$I$2,TUSD!$Q$57:'TUSD'!$Q$103),IF($F$2&lt;&gt;"Não se aplica",SUMIF(TUSD!$F$57:'TUSD'!$F$103,$I$2,TUSD!$Q$57:'TUSD'!$Q$103),IF($E$2&lt;&gt;"Não se aplica",SUMIF(TUSD!$E$57:'TUSD'!$E$103,$I$2,TUSD!$Q$57:'TUSD'!$Q$103),IF($D$2&lt;&gt;"Não se aplica",SUMIF(TUSD!$D$57:'TUSD'!$D$103,$I$2,TUSD!$Q$57:'TUSD'!$Q$103),IF($C$2&lt;&gt;"Não se aplica",SUMIF(TUSD!$C$57:'TUSD'!$C$103,$I$2,TUSD!$Q$57:'TUSD'!$Q$103),IF($B$2&lt;&gt;"Não se aplica",SUMIF(TUSD!$B$57:'TUSD'!$B$103,$I$2,TUSD!$Q$57:'TUSD'!$Q$103),SUMIF(TUSD!$A$57:'TUSD'!$A$103,$I$2,TUSD!$Q$57:'TUSD'!$Q$103)))))))</f>
        <v>794763.81357442401</v>
      </c>
      <c r="H9" s="39">
        <f>IF($G$2&lt;&gt;"Não se aplica",SUMIF(TUSD!$G$57:'TUSD'!$G$103,$I$2,TUSD!$R$57:'TUSD'!$R$103),IF($F$2&lt;&gt;"Não se aplica",SUMIF(TUSD!$F$57:'TUSD'!$F$103,$I$2,TUSD!$R$57:'TUSD'!$R$103),IF($E$2&lt;&gt;"Não se aplica",SUMIF(TUSD!$E$57:'TUSD'!$E$103,$I$2,TUSD!$R$57:'TUSD'!$R$103),IF($D$2&lt;&gt;"Não se aplica",SUMIF(TUSD!$D$57:'TUSD'!$D$103,$I$2,TUSD!$R$57:'TUSD'!$R$103),IF($C$2&lt;&gt;"Não se aplica",SUMIF(TUSD!$C$57:'TUSD'!$C$103,$I$2,TUSD!$R$57:'TUSD'!$R$103),IF($B$2&lt;&gt;"Não se aplica",SUMIF(TUSD!$B$57:'TUSD'!$B$103,$I$2,TUSD!$R$57:'TUSD'!$R$103),SUMIF(TUSD!$A$57:'TUSD'!$A$103,$I$2,TUSD!$R$57:'TUSD'!$R$103)))))))</f>
        <v>149165.09165342033</v>
      </c>
      <c r="I9" s="39">
        <f>IF($G$2&lt;&gt;"Não se aplica",SUMIF(TUSD!$G$57:'TUSD'!$G$103,$I$2,TUSD!$S$57:'TUSD'!$S$103),IF($F$2&lt;&gt;"Não se aplica",SUMIF(TUSD!$F$57:'TUSD'!$F$103,$I$2,TUSD!$S$57:'TUSD'!$S$103),IF($E$2&lt;&gt;"Não se aplica",SUMIF(TUSD!$E$57:'TUSD'!$E$103,$I$2,TUSD!$S$57:'TUSD'!$S$103),IF($D$2&lt;&gt;"Não se aplica",SUMIF(TUSD!$D$57:'TUSD'!$D$103,$I$2,TUSD!$S$57:'TUSD'!$S$103),IF($C$2&lt;&gt;"Não se aplica",SUMIF(TUSD!$C$57:'TUSD'!$C$103,$I$2,TUSD!$S$57:'TUSD'!$S$103),IF($B$2&lt;&gt;"Não se aplica",SUMIF(TUSD!$B$57:'TUSD'!$B$103,$I$2,TUSD!$S$57:'TUSD'!$S$103),SUMIF(TUSD!$A$57:'TUSD'!$A$103,$I$2,TUSD!$S$57:'TUSD'!$S$103)))))))</f>
        <v>0</v>
      </c>
      <c r="J9" s="39">
        <f>IF($G$2&lt;&gt;"Não se aplica",SUMIF(TUSD!$G$57:'TUSD'!$G$103,$I$2,TUSD!$T$57:'TUSD'!$T$103),IF($F$2&lt;&gt;"Não se aplica",SUMIF(TUSD!$F$57:'TUSD'!$F$103,$I$2,TUSD!$T$57:'TUSD'!$T$103),IF($E$2&lt;&gt;"Não se aplica",SUMIF(TUSD!$E$57:'TUSD'!$E$103,$I$2,TUSD!$T$57:'TUSD'!$T$103),IF($D$2&lt;&gt;"Não se aplica",SUMIF(TUSD!$D$57:'TUSD'!$D$103,$I$2,TUSD!$T$57:'TUSD'!$T$103),IF($C$2&lt;&gt;"Não se aplica",SUMIF(TUSD!$C$57:'TUSD'!$C$103,$I$2,TUSD!$T$57:'TUSD'!$T$103),IF($B$2&lt;&gt;"Não se aplica",SUMIF(TUSD!$B$57:'TUSD'!$B$103,$I$2,TUSD!$T$57:'TUSD'!$T$103),SUMIF(TUSD!$A$57:'TUSD'!$A$103,$I$2,TUSD!$T$57:'TUSD'!$T$103)))))))</f>
        <v>0</v>
      </c>
      <c r="K9" s="39">
        <f>IF($G$2&lt;&gt;"Não se aplica",SUMIF(TUSD!$G$57:'TUSD'!$G$103,$I$2,TUSD!$U$57:'TUSD'!$U$103),IF($F$2&lt;&gt;"Não se aplica",SUMIF(TUSD!$F$57:'TUSD'!$F$103,$I$2,TUSD!$U$57:'TUSD'!$U$103),IF($E$2&lt;&gt;"Não se aplica",SUMIF(TUSD!$E$57:'TUSD'!$E$103,$I$2,TUSD!$U$57:'TUSD'!$U$103),IF($D$2&lt;&gt;"Não se aplica",SUMIF(TUSD!$D$57:'TUSD'!$D$103,$I$2,TUSD!$U$57:'TUSD'!$U$103),IF($C$2&lt;&gt;"Não se aplica",SUMIF(TUSD!$C$57:'TUSD'!$C$103,$I$2,TUSD!$U$57:'TUSD'!$U$103),IF($B$2&lt;&gt;"Não se aplica",SUMIF(TUSD!$B$57:'TUSD'!$B$103,$I$2,TUSD!$U$57:'TUSD'!$U$103),SUMIF(TUSD!$A$57:'TUSD'!$A$103,$I$2,TUSD!$U$57:'TUSD'!$U$103)))))))</f>
        <v>0</v>
      </c>
      <c r="L9" s="39">
        <f>IF($G$2&lt;&gt;"Não se aplica",SUMIF(TUSD!$G$57:'TUSD'!$G$103,$I$2,TUSD!$V$57:'TUSD'!$V$103),IF($F$2&lt;&gt;"Não se aplica",SUMIF(TUSD!$F$57:'TUSD'!$F$103,$I$2,TUSD!$V$57:'TUSD'!$V$103),IF($E$2&lt;&gt;"Não se aplica",SUMIF(TUSD!$E$57:'TUSD'!$E$103,$I$2,TUSD!$V$57:'TUSD'!$V$103),IF($D$2&lt;&gt;"Não se aplica",SUMIF(TUSD!$D$57:'TUSD'!$D$103,$I$2,TUSD!$V$57:'TUSD'!$V$103),IF($C$2&lt;&gt;"Não se aplica",SUMIF(TUSD!$C$57:'TUSD'!$C$103,$I$2,TUSD!$V$57:'TUSD'!$V$103),IF($B$2&lt;&gt;"Não se aplica",SUMIF(TUSD!$B$57:'TUSD'!$B$103,$I$2,TUSD!$V$57:'TUSD'!$V$103),SUMIF(TUSD!$A$57:'TUSD'!$A$103,$I$2,TUSD!$V$57:'TUSD'!$V$103)))))))</f>
        <v>0</v>
      </c>
      <c r="M9" s="39">
        <f>IF($G$2&lt;&gt;"Não se aplica",SUMIF(TUSD!$G$57:'TUSD'!$G$103,$I$2,TUSD!$W$57:'TUSD'!$W$103),IF($F$2&lt;&gt;"Não se aplica",SUMIF(TUSD!$F$57:'TUSD'!$F$103,$I$2,TUSD!$W$57:'TUSD'!$W$103),IF($E$2&lt;&gt;"Não se aplica",SUMIF(TUSD!$E$57:'TUSD'!$E$103,$I$2,TUSD!$W$57:'TUSD'!$W$103),IF($D$2&lt;&gt;"Não se aplica",SUMIF(TUSD!$D$57:'TUSD'!$D$103,$I$2,TUSD!$W$57:'TUSD'!$W$103),IF($C$2&lt;&gt;"Não se aplica",SUMIF(TUSD!$C$57:'TUSD'!$C$103,$I$2,TUSD!$W$57:'TUSD'!$W$103),IF($B$2&lt;&gt;"Não se aplica",SUMIF(TUSD!$B$57:'TUSD'!$B$103,$I$2,TUSD!$W$57:'TUSD'!$W$103),SUMIF(TUSD!$A$57:'TUSD'!$A$103,$I$2,TUSD!$W$57:'TUSD'!$W$103)))))))</f>
        <v>0</v>
      </c>
      <c r="N9" s="39">
        <f>IF($G$2&lt;&gt;"Não se aplica",SUMIF(TUSD!$G$57:'TUSD'!$G$103,$I$2,TUSD!$X$57:'TUSD'!$X$103),IF($F$2&lt;&gt;"Não se aplica",SUMIF(TUSD!$F$57:'TUSD'!$F$103,$I$2,TUSD!$X$57:'TUSD'!$X$103),IF($E$2&lt;&gt;"Não se aplica",SUMIF(TUSD!$E$57:'TUSD'!$E$103,$I$2,TUSD!$X$57:'TUSD'!$X$103),IF($D$2&lt;&gt;"Não se aplica",SUMIF(TUSD!$D$57:'TUSD'!$D$103,$I$2,TUSD!$X$57:'TUSD'!$X$103),IF($C$2&lt;&gt;"Não se aplica",SUMIF(TUSD!$C$57:'TUSD'!$C$103,$I$2,TUSD!$X$57:'TUSD'!$X$103),IF($B$2&lt;&gt;"Não se aplica",SUMIF(TUSD!$B$57:'TUSD'!$B$103,$I$2,TUSD!$X$57:'TUSD'!$X$103),SUMIF(TUSD!$A$57:'TUSD'!$A$103,$I$2,TUSD!$X$57:'TUSD'!$X$103)))))))</f>
        <v>1240050.4454712106</v>
      </c>
      <c r="O9" s="39">
        <f>IF($G$2&lt;&gt;"Não se aplica",SUMIF(TUSD!$G$57:'TUSD'!$G$103,$I$2,TUSD!$Y$57:'TUSD'!$Y$103),IF($F$2&lt;&gt;"Não se aplica",SUMIF(TUSD!$F$57:'TUSD'!$F$103,$I$2,TUSD!$Y$57:'TUSD'!$Y$103),IF($E$2&lt;&gt;"Não se aplica",SUMIF(TUSD!$E$57:'TUSD'!$E$103,$I$2,TUSD!$Y$57:'TUSD'!$Y$103),IF($D$2&lt;&gt;"Não se aplica",SUMIF(TUSD!$D$57:'TUSD'!$D$103,$I$2,TUSD!$Y$57:'TUSD'!$Y$103),IF($C$2&lt;&gt;"Não se aplica",SUMIF(TUSD!$C$57:'TUSD'!$C$103,$I$2,TUSD!$Y$57:'TUSD'!$Y$103),IF($B$2&lt;&gt;"Não se aplica",SUMIF(TUSD!$B$57:'TUSD'!$B$103,$I$2,TUSD!$Y$57:'TUSD'!$Y$103),SUMIF(TUSD!$A$57:'TUSD'!$A$103,$I$2,TUSD!$Y$57:'TUSD'!$Y$103)))))))</f>
        <v>0</v>
      </c>
      <c r="P9" s="39">
        <f>IF($G$2&lt;&gt;"Não se aplica",SUMIF(TUSD!$G$57:'TUSD'!$G$103,$I$2,TUSD!$Z$57:'TUSD'!$Z$103),IF($F$2&lt;&gt;"Não se aplica",SUMIF(TUSD!$F$57:'TUSD'!$F$103,$I$2,TUSD!$Z$57:'TUSD'!$Z$103),IF($E$2&lt;&gt;"Não se aplica",SUMIF(TUSD!$E$57:'TUSD'!$E$103,$I$2,TUSD!$Z$57:'TUSD'!$Z$103),IF($D$2&lt;&gt;"Não se aplica",SUMIF(TUSD!$D$57:'TUSD'!$D$103,$I$2,TUSD!$Z$57:'TUSD'!$Z$103),IF($C$2&lt;&gt;"Não se aplica",SUMIF(TUSD!$C$57:'TUSD'!$C$103,$I$2,TUSD!$Z$57:'TUSD'!$Z$103),IF($B$2&lt;&gt;"Não se aplica",SUMIF(TUSD!$B$57:'TUSD'!$B$103,$I$2,TUSD!$Z$57:'TUSD'!$Z$103),SUMIF(TUSD!$A$57:'TUSD'!$A$103,$I$2,TUSD!$Z$57:'TUSD'!$Z$103)))))))</f>
        <v>0</v>
      </c>
      <c r="Q9" s="39">
        <f>IF($G$2&lt;&gt;"Não se aplica",SUMIF(TUSD!$G$57:'TUSD'!$G$103,$I$2,TUSD!$AA$57:'TUSD'!$AA$103),IF($F$2&lt;&gt;"Não se aplica",SUMIF(TUSD!$F$57:'TUSD'!$F$103,$I$2,TUSD!$AA$57:'TUSD'!$AA$103),IF($E$2&lt;&gt;"Não se aplica",SUMIF(TUSD!$E$57:'TUSD'!$E$103,$I$2,TUSD!$AA$57:'TUSD'!$AA$103),IF($D$2&lt;&gt;"Não se aplica",SUMIF(TUSD!$D$57:'TUSD'!$D$103,$I$2,TUSD!$AA$57:'TUSD'!$AA$103),IF($C$2&lt;&gt;"Não se aplica",SUMIF(TUSD!$C$57:'TUSD'!$C$103,$I$2,TUSD!$AA$57:'TUSD'!$AA$103),IF($B$2&lt;&gt;"Não se aplica",SUMIF(TUSD!$B$57:'TUSD'!$B$103,$I$2,TUSD!$AA$57:'TUSD'!$AA$103),SUMIF(TUSD!$A$57:'TUSD'!$A$103,$I$2,TUSD!$AA$57:'TUSD'!$AA$103)))))))</f>
        <v>772948.50627078477</v>
      </c>
      <c r="R9" s="39">
        <f ca="1">IF($G$2&lt;&gt;"Não se aplica",SUMIF(TUSD!$G$57:'TUSD'!$G$103,$I$2,TUSD!$AB$57:'TUSD'!$AB$103),IF($F$2&lt;&gt;"Não se aplica",SUMIF(TUSD!$F$57:'TUSD'!$F$103,$I$2,TUSD!$AB$57:'TUSD'!$AB$103),IF($E$2&lt;&gt;"Não se aplica",SUMIF(TUSD!$E$57:'TUSD'!$E$103,$I$2,TUSD!$AB$57:'TUSD'!$AB$103),IF($D$2&lt;&gt;"Não se aplica",SUMIF(TUSD!$D$57:'TUSD'!$D$103,$I$2,TUSD!$AB$57:'TUSD'!$AB$103),IF($C$2&lt;&gt;"Não se aplica",SUMIF(TUSD!$C$57:'TUSD'!$C$103,$I$2,TUSD!$AB$57:'TUSD'!$AB$103),IF($B$2&lt;&gt;"Não se aplica",SUMIF(TUSD!$B$57:'TUSD'!$B$103,$I$2,TUSD!$AB$57:'TUSD'!$AB$103),SUMIF(TUSD!$A$57:'TUSD'!$A$103,$I$2,TUSD!$AB$57:'TUSD'!$AB$103)))))))</f>
        <v>0</v>
      </c>
      <c r="S9" s="39">
        <f ca="1">IF($G$2&lt;&gt;"Não se aplica",SUMIF(TUSD!$G$57:'TUSD'!$G$103,$I$2,TUSD!$AC$57:'TUSD'!$AC$103),IF($F$2&lt;&gt;"Não se aplica",SUMIF(TUSD!$F$57:'TUSD'!$F$103,$I$2,TUSD!$AC$57:'TUSD'!$AC$103),IF($E$2&lt;&gt;"Não se aplica",SUMIF(TUSD!$E$57:'TUSD'!$E$103,$I$2,TUSD!$AC$57:'TUSD'!$AC$103),IF($D$2&lt;&gt;"Não se aplica",SUMIF(TUSD!$D$57:'TUSD'!$D$103,$I$2,TUSD!$AC$57:'TUSD'!$AC$103),IF($C$2&lt;&gt;"Não se aplica",SUMIF(TUSD!$C$57:'TUSD'!$C$103,$I$2,TUSD!$AC$57:'TUSD'!$AC$103),IF($B$2&lt;&gt;"Não se aplica",SUMIF(TUSD!$B$57:'TUSD'!$B$103,$I$2,TUSD!$AC$57:'TUSD'!$AC$103),SUMIF(TUSD!$A$57:'TUSD'!$A$103,$I$2,TUSD!$AC$57:'TUSD'!$AC$103)))))))</f>
        <v>0</v>
      </c>
      <c r="T9" s="39">
        <f>IF($G$2&lt;&gt;"Não se aplica",SUMIF(TUSD!$G$57:'TUSD'!$G$103,$I$2,TUSD!$AD$57:'TUSD'!$AD$103),IF($F$2&lt;&gt;"Não se aplica",SUMIF(TUSD!$F$57:'TUSD'!$F$103,$I$2,TUSD!$AD$57:'TUSD'!$AD$103),IF($E$2&lt;&gt;"Não se aplica",SUMIF(TUSD!$E$57:'TUSD'!$E$103,$I$2,TUSD!$AD$57:'TUSD'!$AD$103),IF($D$2&lt;&gt;"Não se aplica",SUMIF(TUSD!$D$57:'TUSD'!$D$103,$I$2,TUSD!$AD$57:'TUSD'!$AD$103),IF($C$2&lt;&gt;"Não se aplica",SUMIF(TUSD!$C$57:'TUSD'!$C$103,$I$2,TUSD!$AD$57:'TUSD'!$AD$103),IF($B$2&lt;&gt;"Não se aplica",SUMIF(TUSD!$B$57:'TUSD'!$B$103,$I$2,TUSD!$AD$57:'TUSD'!$AD$103),SUMIF(TUSD!$A$57:'TUSD'!$A$103,$I$2,TUSD!$AD$57:'TUSD'!$AD$103)))))))</f>
        <v>78810.6368813156</v>
      </c>
      <c r="U9" s="39">
        <f>IF($G$2&lt;&gt;"Não se aplica",SUMIF(TUSD!$G$57:'TUSD'!$G$103,$I$2,TUSD!$AE$57:'TUSD'!$AE$103),IF($F$2&lt;&gt;"Não se aplica",SUMIF(TUSD!$F$57:'TUSD'!$F$103,$I$2,TUSD!$AE$57:'TUSD'!$AE$103),IF($E$2&lt;&gt;"Não se aplica",SUMIF(TUSD!$E$57:'TUSD'!$E$103,$I$2,TUSD!$AE$57:'TUSD'!$AE$103),IF($D$2&lt;&gt;"Não se aplica",SUMIF(TUSD!$D$57:'TUSD'!$D$103,$I$2,TUSD!$AE$57:'TUSD'!$AE$103),IF($C$2&lt;&gt;"Não se aplica",SUMIF(TUSD!$C$57:'TUSD'!$C$103,$I$2,TUSD!$AE$57:'TUSD'!$AE$103),IF($B$2&lt;&gt;"Não se aplica",SUMIF(TUSD!$B$57:'TUSD'!$B$103,$I$2,TUSD!$AE$57:'TUSD'!$AE$103),SUMIF(TUSD!$A$57:'TUSD'!$A$103,$I$2,TUSD!$AE$57:'TUSD'!$AE$103)))))))</f>
        <v>0</v>
      </c>
      <c r="V9" s="39">
        <f ca="1">IF($G$2&lt;&gt;"Não se aplica",SUMIF(TUSD!$G$57:'TUSD'!$G$103,$I$2,TUSD!$AF$57:'TUSD'!$AF$103),IF($F$2&lt;&gt;"Não se aplica",SUMIF(TUSD!$F$57:'TUSD'!$F$103,$I$2,TUSD!$AF$57:'TUSD'!$AF$103),IF($E$2&lt;&gt;"Não se aplica",SUMIF(TUSD!$E$57:'TUSD'!$E$103,$I$2,TUSD!$AF$57:'TUSD'!$AF$103),IF($D$2&lt;&gt;"Não se aplica",SUMIF(TUSD!$D$57:'TUSD'!$D$103,$I$2,TUSD!$AF$57:'TUSD'!$AF$103),IF($C$2&lt;&gt;"Não se aplica",SUMIF(TUSD!$C$57:'TUSD'!$C$103,$I$2,TUSD!$AF$57:'TUSD'!$AF$103),IF($B$2&lt;&gt;"Não se aplica",SUMIF(TUSD!$B$57:'TUSD'!$B$103,$I$2,TUSD!$AF$57:'TUSD'!$AF$103),SUMIF(TUSD!$A$57:'TUSD'!$A$103,$I$2,TUSD!$AF$57:'TUSD'!$AF$103)))))))</f>
        <v>0</v>
      </c>
      <c r="W9" s="39">
        <f ca="1">IF($G$2&lt;&gt;"Não se aplica",SUMIF(TUSD!$G$57:'TUSD'!$G$103,$I$2,TUSD!$AG$57:'TUSD'!$AG$103),IF($F$2&lt;&gt;"Não se aplica",SUMIF(TUSD!$F$57:'TUSD'!$F$103,$I$2,TUSD!$AG$57:'TUSD'!$AG$103),IF($E$2&lt;&gt;"Não se aplica",SUMIF(TUSD!$E$57:'TUSD'!$E$103,$I$2,TUSD!$AG$57:'TUSD'!$AG$103),IF($D$2&lt;&gt;"Não se aplica",SUMIF(TUSD!$D$57:'TUSD'!$D$103,$I$2,TUSD!$AG$57:'TUSD'!$AG$103),IF($C$2&lt;&gt;"Não se aplica",SUMIF(TUSD!$C$57:'TUSD'!$C$103,$I$2,TUSD!$AG$57:'TUSD'!$AG$103),IF($B$2&lt;&gt;"Não se aplica",SUMIF(TUSD!$B$57:'TUSD'!$B$103,$I$2,TUSD!$AG$57:'TUSD'!$AG$103),SUMIF(TUSD!$A$57:'TUSD'!$A$103,$I$2,TUSD!$AG$57:'TUSD'!$AG$103)))))))</f>
        <v>0</v>
      </c>
      <c r="X9" s="39">
        <f t="shared" ca="1" si="0"/>
        <v>3042276.259386824</v>
      </c>
      <c r="AD9" s="14" t="s">
        <v>45</v>
      </c>
    </row>
    <row r="10" spans="1:33" x14ac:dyDescent="0.2">
      <c r="A10" s="14" t="s">
        <v>982</v>
      </c>
      <c r="B10" s="39">
        <f>SUMIF(TUSD!$A$57:'TUSD'!$A$103,$A$2,TUSD!$AI$57:'TUSD'!$AI$103)</f>
        <v>0</v>
      </c>
      <c r="C10" s="39">
        <f>SUMIF(TUSD!$A$57:'TUSD'!$A$103,$A$2,TUSD!$AJ$57:'TUSD'!$AJ$103)</f>
        <v>7596.9456933113688</v>
      </c>
      <c r="D10" s="39">
        <f>SUMIF(TUSD!$A$57:'TUSD'!$A$103,$A$2,TUSD!$AK$57:'TUSD'!$AK$103)</f>
        <v>0</v>
      </c>
      <c r="E10" s="39">
        <f>SUMIF(TUSD!$A$57:'TUSD'!$A$103,$A$2,TUSD!$AL$57:'TUSD'!$AL$103)</f>
        <v>0</v>
      </c>
      <c r="F10" s="39">
        <f>SUMIF(TUSD!$A$57:'TUSD'!$A$103,$A$2,TUSD!$AM$57:'TUSD'!$AM$103)</f>
        <v>0</v>
      </c>
      <c r="G10" s="39">
        <f>SUMIF(TUSD!$A$57:'TUSD'!$A$103,$A$2,TUSD!$AN$57:'TUSD'!$AN$103)</f>
        <v>692743.50705468026</v>
      </c>
      <c r="H10" s="39">
        <f>SUMIF(TUSD!$A$57:'TUSD'!$A$103,$A$2,TUSD!$AO$57:'TUSD'!$AO$103)</f>
        <v>120857.19670530688</v>
      </c>
      <c r="I10" s="39">
        <f>SUMIF(TUSD!$A$57:'TUSD'!$A$103,$A$2,TUSD!$AP$57:'TUSD'!$AP$103)</f>
        <v>0</v>
      </c>
      <c r="J10" s="39">
        <f>SUMIF(TUSD!$A$57:'TUSD'!$A$103,$A$2,TUSD!$AQ$57:'TUSD'!$AQ$103)</f>
        <v>0</v>
      </c>
      <c r="K10" s="39">
        <f>SUMIF(TUSD!$A$57:'TUSD'!$A$103,$A$2,TUSD!$AR$57:'TUSD'!$AR$103)</f>
        <v>0</v>
      </c>
      <c r="L10" s="39">
        <f>SUMIF(TUSD!$A$57:'TUSD'!$A$103,$A$2,TUSD!$AS$57:'TUSD'!$AS$103)</f>
        <v>0</v>
      </c>
      <c r="M10" s="39">
        <f>SUMIF(TUSD!$A$57:'TUSD'!$A$103,$A$2,TUSD!$AT$57:'TUSD'!$AT$103)</f>
        <v>0</v>
      </c>
      <c r="N10" s="39">
        <f>SUMIF(TUSD!$A$57:'TUSD'!$A$103,$A$2,TUSD!$AU$57:'TUSD'!$AU$103)</f>
        <v>1206948.4264181475</v>
      </c>
      <c r="O10" s="39">
        <f>SUMIF(TUSD!$A$57:'TUSD'!$A$103,$A$2,TUSD!$AV$57:'TUSD'!$AV$103)</f>
        <v>0</v>
      </c>
      <c r="P10" s="39">
        <f>SUMIF(TUSD!$A$57:'TUSD'!$A$103,$A$2,TUSD!$AW$57:'TUSD'!$AW$103)</f>
        <v>0</v>
      </c>
      <c r="Q10" s="39">
        <f>SUMIF(TUSD!$A$57:'TUSD'!$A$103,$A$2,TUSD!$AX$57:'TUSD'!$AX$103)</f>
        <v>796528.2268506994</v>
      </c>
      <c r="R10" s="39">
        <f>SUMIF(TUSD!$A$57:'TUSD'!$A$103,$A$2,TUSD!$AY$57:'TUSD'!$AY$103)</f>
        <v>0</v>
      </c>
      <c r="S10" s="39">
        <f>SUMIF(TUSD!$A$57:'TUSD'!$A$103,$A$2,TUSD!$AZ$57:'TUSD'!$AZ$103)</f>
        <v>0</v>
      </c>
      <c r="T10" s="39">
        <f>SUMIF(TUSD!$A$57:'TUSD'!$A$103,$A$2,TUSD!$BA$57:'TUSD'!$BA$103)</f>
        <v>112481.02322694921</v>
      </c>
      <c r="U10" s="39">
        <f>SUMIF(TUSD!$A$57:'TUSD'!$A$103,$A$2,TUSD!$BB$57:'TUSD'!$BB$103)</f>
        <v>0</v>
      </c>
      <c r="V10" s="39">
        <f>SUMIF(TUSD!$A$57:'TUSD'!$A$103,$A$2,TUSD!$BC$57:'TUSD'!$BC$103)</f>
        <v>0</v>
      </c>
      <c r="W10" s="39">
        <f>SUMIF(TUSD!$A$57:'TUSD'!$A$103,$A$2,TUSD!$BD$57:'TUSD'!$BD$103)</f>
        <v>0</v>
      </c>
      <c r="X10" s="39">
        <f t="shared" si="0"/>
        <v>2937155.3259490952</v>
      </c>
      <c r="AD10" s="14" t="s">
        <v>87</v>
      </c>
    </row>
    <row r="11" spans="1:33" x14ac:dyDescent="0.2">
      <c r="A11" s="14" t="s">
        <v>983</v>
      </c>
      <c r="B11" s="39">
        <f>SUMIF(TUSD!$A$57:'TUSD'!$A$103,$A$2,TUSD!$L$57:'TUSD'!$L$103)</f>
        <v>0</v>
      </c>
      <c r="C11" s="39">
        <f>SUMIF(TUSD!$A$57:'TUSD'!$A$103,$A$2,TUSD!$M$57:'TUSD'!$M$103)</f>
        <v>6537.765535668269</v>
      </c>
      <c r="D11" s="39">
        <f ca="1">SUMIF(TUSD!$A$57:'TUSD'!$A$103,$A$2,TUSD!$N$57:'TUSD'!$N$103)</f>
        <v>0</v>
      </c>
      <c r="E11" s="39">
        <f>SUMIF(TUSD!$A$57:'TUSD'!$A$103,$A$2,TUSD!$O$57:'TUSD'!$O$103)</f>
        <v>0</v>
      </c>
      <c r="F11" s="39">
        <f>SUMIF(TUSD!$A$57:'TUSD'!$A$103,$A$2,TUSD!$P$57:'TUSD'!$P$103)</f>
        <v>0</v>
      </c>
      <c r="G11" s="39">
        <f>SUMIF(TUSD!$A$57:'TUSD'!$A$103,$A$2,TUSD!$Q$57:'TUSD'!$Q$103)</f>
        <v>794763.81357442401</v>
      </c>
      <c r="H11" s="39">
        <f>SUMIF(TUSD!$A$57:'TUSD'!$A$103,$A$2,TUSD!$R$57:'TUSD'!$R$103)</f>
        <v>149165.09165342033</v>
      </c>
      <c r="I11" s="39">
        <f>SUMIF(TUSD!$A$57:'TUSD'!$A$103,$A$2,TUSD!$S$57:'TUSD'!$S$103)</f>
        <v>0</v>
      </c>
      <c r="J11" s="39">
        <f>SUMIF(TUSD!$A$57:'TUSD'!$A$103,$A$2,TUSD!$T$57:'TUSD'!$T$103)</f>
        <v>0</v>
      </c>
      <c r="K11" s="39">
        <f>SUMIF(TUSD!$A$57:'TUSD'!$A$103,$A$2,TUSD!$U$57:'TUSD'!$U$103)</f>
        <v>0</v>
      </c>
      <c r="L11" s="39">
        <f>SUMIF(TUSD!$A$57:'TUSD'!$A$103,$A$2,TUSD!$V$57:'TUSD'!$V$103)</f>
        <v>0</v>
      </c>
      <c r="M11" s="39">
        <f>SUMIF(TUSD!$A$57:'TUSD'!$A$103,$A$2,TUSD!$W$57:'TUSD'!$W$103)</f>
        <v>0</v>
      </c>
      <c r="N11" s="39">
        <f>SUMIF(TUSD!$A$57:'TUSD'!$A$103,$A$2,TUSD!$X$57:'TUSD'!$X$103)</f>
        <v>1240050.4454712106</v>
      </c>
      <c r="O11" s="39">
        <f>SUMIF(TUSD!$A$57:'TUSD'!$A$103,$A$2,TUSD!$Y$57:'TUSD'!$Y$103)</f>
        <v>0</v>
      </c>
      <c r="P11" s="39">
        <f>SUMIF(TUSD!$A$57:'TUSD'!$A$103,$A$2,TUSD!$Z$57:'TUSD'!$Z$103)</f>
        <v>0</v>
      </c>
      <c r="Q11" s="39">
        <f>SUMIF(TUSD!$A$57:'TUSD'!$A$103,$A$2,TUSD!$AA$57:'TUSD'!$AA$103)</f>
        <v>772948.50627078477</v>
      </c>
      <c r="R11" s="39">
        <f ca="1">SUMIF(TUSD!$A$57:'TUSD'!$A$103,$A$2,TUSD!$AB$57:'TUSD'!$AB$103)</f>
        <v>0</v>
      </c>
      <c r="S11" s="39">
        <f ca="1">SUMIF(TUSD!$A$57:'TUSD'!$A$103,$A$2,TUSD!$AC$57:'TUSD'!$AC$103)</f>
        <v>0</v>
      </c>
      <c r="T11" s="39">
        <f>SUMIF(TUSD!$A$57:'TUSD'!$A$103,$A$2,TUSD!$AD$57:'TUSD'!$AD$103)</f>
        <v>78810.6368813156</v>
      </c>
      <c r="U11" s="39">
        <f>SUMIF(TUSD!$A$57:'TUSD'!$A$103,$A$2,TUSD!$AE$57:'TUSD'!$AE$103)</f>
        <v>0</v>
      </c>
      <c r="V11" s="39">
        <f ca="1">SUMIF(TUSD!$A$57:'TUSD'!$A$103,$A$2,TUSD!$AF$57:'TUSD'!$AF$103)</f>
        <v>0</v>
      </c>
      <c r="W11" s="39">
        <f ca="1">SUMIF(TUSD!$A$57:'TUSD'!$A$103,$A$2,TUSD!$AG$57:'TUSD'!$AG$103)</f>
        <v>0</v>
      </c>
      <c r="X11" s="39">
        <f t="shared" ca="1" si="0"/>
        <v>3042276.259386824</v>
      </c>
    </row>
    <row r="13" spans="1:33" x14ac:dyDescent="0.2">
      <c r="A13" s="14" t="s">
        <v>987</v>
      </c>
      <c r="B13" s="57">
        <f t="shared" ref="B13:X13" si="1">IF($X$6&lt;&gt;0,(B$7-B$6)/$X$6,0)</f>
        <v>0</v>
      </c>
      <c r="C13" s="57">
        <f t="shared" si="1"/>
        <v>-4.2048122346338219E-4</v>
      </c>
      <c r="D13" s="57">
        <f t="shared" ca="1" si="1"/>
        <v>0</v>
      </c>
      <c r="E13" s="57">
        <f t="shared" si="1"/>
        <v>0</v>
      </c>
      <c r="F13" s="57">
        <f t="shared" si="1"/>
        <v>0</v>
      </c>
      <c r="G13" s="57">
        <f t="shared" si="1"/>
        <v>4.4278040161708138E-2</v>
      </c>
      <c r="H13" s="57">
        <f t="shared" si="1"/>
        <v>1.0078241645526504E-2</v>
      </c>
      <c r="I13" s="57">
        <f t="shared" si="1"/>
        <v>0</v>
      </c>
      <c r="J13" s="57">
        <f t="shared" si="1"/>
        <v>0</v>
      </c>
      <c r="K13" s="57">
        <f t="shared" si="1"/>
        <v>0</v>
      </c>
      <c r="L13" s="57">
        <f t="shared" si="1"/>
        <v>0</v>
      </c>
      <c r="M13" s="57">
        <f t="shared" si="1"/>
        <v>0</v>
      </c>
      <c r="N13" s="57">
        <f t="shared" si="1"/>
        <v>1.7722517863414881E-2</v>
      </c>
      <c r="O13" s="57">
        <f t="shared" si="1"/>
        <v>0</v>
      </c>
      <c r="P13" s="57">
        <f t="shared" si="1"/>
        <v>0</v>
      </c>
      <c r="Q13" s="57">
        <f t="shared" si="1"/>
        <v>-1.7577186011696103E-3</v>
      </c>
      <c r="R13" s="57">
        <f t="shared" ca="1" si="1"/>
        <v>0</v>
      </c>
      <c r="S13" s="57">
        <f t="shared" ca="1" si="1"/>
        <v>0</v>
      </c>
      <c r="T13" s="57">
        <f t="shared" si="1"/>
        <v>-1.5501535091908042E-2</v>
      </c>
      <c r="U13" s="57">
        <f t="shared" si="1"/>
        <v>0</v>
      </c>
      <c r="V13" s="57">
        <f t="shared" ca="1" si="1"/>
        <v>0</v>
      </c>
      <c r="W13" s="57">
        <f t="shared" ca="1" si="1"/>
        <v>0</v>
      </c>
      <c r="X13" s="57">
        <f t="shared" ca="1" si="1"/>
        <v>5.4399064754108724E-2</v>
      </c>
    </row>
    <row r="14" spans="1:33" x14ac:dyDescent="0.2">
      <c r="A14" s="14" t="s">
        <v>988</v>
      </c>
      <c r="B14" s="57">
        <f t="shared" ref="B14:X14" si="2">IF($X$10&lt;&gt;0,(B$9-B$8)/$X$10,0)</f>
        <v>0</v>
      </c>
      <c r="C14" s="57">
        <f t="shared" si="2"/>
        <v>-3.6061428154156013E-4</v>
      </c>
      <c r="D14" s="57">
        <f t="shared" ca="1" si="2"/>
        <v>0</v>
      </c>
      <c r="E14" s="57">
        <f t="shared" si="2"/>
        <v>0</v>
      </c>
      <c r="F14" s="57">
        <f t="shared" si="2"/>
        <v>0</v>
      </c>
      <c r="G14" s="57">
        <f t="shared" si="2"/>
        <v>3.4734392702496085E-2</v>
      </c>
      <c r="H14" s="57">
        <f t="shared" si="2"/>
        <v>9.6378610616945151E-3</v>
      </c>
      <c r="I14" s="57">
        <f t="shared" si="2"/>
        <v>0</v>
      </c>
      <c r="J14" s="57">
        <f t="shared" si="2"/>
        <v>0</v>
      </c>
      <c r="K14" s="57">
        <f t="shared" si="2"/>
        <v>0</v>
      </c>
      <c r="L14" s="57">
        <f t="shared" si="2"/>
        <v>0</v>
      </c>
      <c r="M14" s="57">
        <f t="shared" si="2"/>
        <v>0</v>
      </c>
      <c r="N14" s="57">
        <f t="shared" si="2"/>
        <v>1.1270094829719886E-2</v>
      </c>
      <c r="O14" s="57">
        <f t="shared" si="2"/>
        <v>0</v>
      </c>
      <c r="P14" s="57">
        <f t="shared" si="2"/>
        <v>0</v>
      </c>
      <c r="Q14" s="57">
        <f t="shared" si="2"/>
        <v>-8.0280809024954169E-3</v>
      </c>
      <c r="R14" s="57">
        <f t="shared" ca="1" si="2"/>
        <v>0</v>
      </c>
      <c r="S14" s="57">
        <f t="shared" ca="1" si="2"/>
        <v>0</v>
      </c>
      <c r="T14" s="57">
        <f t="shared" si="2"/>
        <v>-1.1463604273210699E-2</v>
      </c>
      <c r="U14" s="57">
        <f t="shared" si="2"/>
        <v>0</v>
      </c>
      <c r="V14" s="57">
        <f t="shared" ca="1" si="2"/>
        <v>0</v>
      </c>
      <c r="W14" s="57">
        <f t="shared" ca="1" si="2"/>
        <v>0</v>
      </c>
      <c r="X14" s="57">
        <f t="shared" ca="1" si="2"/>
        <v>3.5790049136662741E-2</v>
      </c>
    </row>
    <row r="15" spans="1:33" x14ac:dyDescent="0.2">
      <c r="A15" s="14" t="s">
        <v>989</v>
      </c>
      <c r="B15" s="57">
        <f t="shared" ref="B15:X15" si="3">IF($X$8&lt;&gt;0,(B$9-B$8)/$X$8,0)</f>
        <v>0</v>
      </c>
      <c r="C15" s="57">
        <f t="shared" si="3"/>
        <v>-3.6061428154156013E-4</v>
      </c>
      <c r="D15" s="57">
        <f t="shared" ca="1" si="3"/>
        <v>0</v>
      </c>
      <c r="E15" s="57">
        <f t="shared" si="3"/>
        <v>0</v>
      </c>
      <c r="F15" s="57">
        <f t="shared" si="3"/>
        <v>0</v>
      </c>
      <c r="G15" s="57">
        <f t="shared" si="3"/>
        <v>3.4734392702496085E-2</v>
      </c>
      <c r="H15" s="57">
        <f t="shared" si="3"/>
        <v>9.6378610616945151E-3</v>
      </c>
      <c r="I15" s="57">
        <f t="shared" si="3"/>
        <v>0</v>
      </c>
      <c r="J15" s="57">
        <f t="shared" si="3"/>
        <v>0</v>
      </c>
      <c r="K15" s="57">
        <f t="shared" si="3"/>
        <v>0</v>
      </c>
      <c r="L15" s="57">
        <f t="shared" si="3"/>
        <v>0</v>
      </c>
      <c r="M15" s="57">
        <f t="shared" si="3"/>
        <v>0</v>
      </c>
      <c r="N15" s="57">
        <f t="shared" si="3"/>
        <v>1.1270094829719886E-2</v>
      </c>
      <c r="O15" s="57">
        <f t="shared" si="3"/>
        <v>0</v>
      </c>
      <c r="P15" s="57">
        <f t="shared" si="3"/>
        <v>0</v>
      </c>
      <c r="Q15" s="57">
        <f t="shared" si="3"/>
        <v>-8.0280809024954169E-3</v>
      </c>
      <c r="R15" s="57">
        <f t="shared" ca="1" si="3"/>
        <v>0</v>
      </c>
      <c r="S15" s="57">
        <f t="shared" ca="1" si="3"/>
        <v>0</v>
      </c>
      <c r="T15" s="57">
        <f t="shared" si="3"/>
        <v>-1.1463604273210699E-2</v>
      </c>
      <c r="U15" s="57">
        <f t="shared" si="3"/>
        <v>0</v>
      </c>
      <c r="V15" s="57">
        <f t="shared" ca="1" si="3"/>
        <v>0</v>
      </c>
      <c r="W15" s="57">
        <f t="shared" ca="1" si="3"/>
        <v>0</v>
      </c>
      <c r="X15" s="57">
        <f t="shared" ca="1" si="3"/>
        <v>3.5790049136662741E-2</v>
      </c>
    </row>
  </sheetData>
  <dataValidations count="6">
    <dataValidation type="list" allowBlank="1" showInputMessage="1" showErrorMessage="1" error="Deve-se selecionar grupo válido" sqref="A2" xr:uid="{82B1BA2C-9357-456D-A951-8CF663A1943B}">
      <formula1>AA1:AA6</formula1>
    </dataValidation>
    <dataValidation type="list" allowBlank="1" showInputMessage="1" showErrorMessage="1" error="Deve-se selecionar grupo válido" sqref="B2" xr:uid="{92B95948-0C55-4778-AE13-866A52D48675}">
      <formula1>AB1:AB7</formula1>
    </dataValidation>
    <dataValidation type="list" allowBlank="1" showInputMessage="1" showErrorMessage="1" error="Deve-se selecionar grupo válido" sqref="C2 E2" xr:uid="{552B69AC-79D7-4817-8A6D-E330E7780355}">
      <formula1>AC1:AC4</formula1>
    </dataValidation>
    <dataValidation type="list" allowBlank="1" showInputMessage="1" showErrorMessage="1" error="Deve-se selecionar grupo válido" sqref="D2" xr:uid="{8B18D39B-A826-4304-910C-F28B126E3499}">
      <formula1>AD1:AD10</formula1>
    </dataValidation>
    <dataValidation type="list" allowBlank="1" showInputMessage="1" showErrorMessage="1" error="Deve-se selecionar grupo válido" sqref="F2" xr:uid="{76B3CB80-2E4A-43D5-B35B-E7B094DA55D3}">
      <formula1>AF1:AF1</formula1>
    </dataValidation>
    <dataValidation type="list" allowBlank="1" showInputMessage="1" showErrorMessage="1" error="Deve-se selecionar grupo válido" sqref="G2" xr:uid="{9B9C76A3-12A6-46B2-84C1-45314A72CA34}">
      <formula1>AG1:AG8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8BFF-3B77-43B9-B3F8-A8C487704816}">
  <dimension ref="A1:AG15"/>
  <sheetViews>
    <sheetView showGridLines="0" workbookViewId="0">
      <selection activeCell="J15" sqref="J15"/>
    </sheetView>
  </sheetViews>
  <sheetFormatPr defaultRowHeight="10.199999999999999" x14ac:dyDescent="0.2"/>
  <cols>
    <col min="1" max="1" width="18.5546875" style="14" bestFit="1" customWidth="1"/>
    <col min="2" max="2" width="10.21875" style="14" bestFit="1" customWidth="1"/>
    <col min="3" max="4" width="9.5546875" style="14" bestFit="1" customWidth="1"/>
    <col min="5" max="5" width="9.88671875" style="14" bestFit="1" customWidth="1"/>
    <col min="6" max="6" width="9.5546875" style="14" bestFit="1" customWidth="1"/>
    <col min="7" max="7" width="14.77734375" style="14" bestFit="1" customWidth="1"/>
    <col min="8" max="8" width="5.33203125" style="14" bestFit="1" customWidth="1"/>
    <col min="9" max="9" width="9.21875" style="14" bestFit="1" customWidth="1"/>
    <col min="10" max="10" width="6.109375" style="14" bestFit="1" customWidth="1"/>
    <col min="11" max="11" width="7.5546875" style="14" bestFit="1" customWidth="1"/>
    <col min="12" max="12" width="10.6640625" style="14" bestFit="1" customWidth="1"/>
    <col min="13" max="13" width="9.109375" style="14" bestFit="1" customWidth="1"/>
    <col min="14" max="26" width="8.88671875" style="14"/>
    <col min="27" max="27" width="2.5546875" style="14" bestFit="1" customWidth="1"/>
    <col min="28" max="28" width="24.6640625" style="14" bestFit="1" customWidth="1"/>
    <col min="29" max="29" width="12.6640625" style="14" bestFit="1" customWidth="1"/>
    <col min="30" max="30" width="23.109375" style="14" bestFit="1" customWidth="1"/>
    <col min="31" max="33" width="9.5546875" style="14" bestFit="1" customWidth="1"/>
    <col min="34" max="16384" width="8.88671875" style="14"/>
  </cols>
  <sheetData>
    <row r="1" spans="1:33" x14ac:dyDescent="0.2">
      <c r="A1" s="14" t="s">
        <v>58</v>
      </c>
      <c r="B1" s="14" t="s">
        <v>59</v>
      </c>
      <c r="C1" s="14" t="s">
        <v>60</v>
      </c>
      <c r="D1" s="14" t="s">
        <v>61</v>
      </c>
      <c r="E1" s="14" t="s">
        <v>62</v>
      </c>
      <c r="F1" s="14" t="s">
        <v>15</v>
      </c>
      <c r="G1" s="14" t="s">
        <v>64</v>
      </c>
      <c r="I1" s="14" t="s">
        <v>986</v>
      </c>
      <c r="AA1" s="14" t="s">
        <v>33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33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22</v>
      </c>
      <c r="AB2" s="14" t="s">
        <v>67</v>
      </c>
      <c r="AC2" s="14" t="s">
        <v>24</v>
      </c>
      <c r="AD2" s="14" t="s">
        <v>24</v>
      </c>
      <c r="AG2" s="14" t="s">
        <v>69</v>
      </c>
    </row>
    <row r="3" spans="1:33" x14ac:dyDescent="0.2">
      <c r="AA3" s="14" t="s">
        <v>39</v>
      </c>
      <c r="AB3" s="14" t="s">
        <v>81</v>
      </c>
      <c r="AC3" s="14" t="s">
        <v>40</v>
      </c>
      <c r="AD3" s="14" t="s">
        <v>27</v>
      </c>
      <c r="AG3" s="14" t="s">
        <v>70</v>
      </c>
    </row>
    <row r="4" spans="1:33" x14ac:dyDescent="0.2">
      <c r="AA4" s="14" t="s">
        <v>31</v>
      </c>
      <c r="AB4" s="14" t="s">
        <v>83</v>
      </c>
      <c r="AC4" s="14" t="s">
        <v>44</v>
      </c>
      <c r="AD4" s="14" t="s">
        <v>28</v>
      </c>
      <c r="AG4" s="14" t="s">
        <v>80</v>
      </c>
    </row>
    <row r="5" spans="1:33" x14ac:dyDescent="0.2">
      <c r="A5" s="14" t="s">
        <v>979</v>
      </c>
      <c r="B5" s="14" t="str">
        <f>TE!$X$4</f>
        <v>P&amp;D</v>
      </c>
      <c r="C5" s="14" t="str">
        <f>TE!$Y$4</f>
        <v>ESS/ERR</v>
      </c>
      <c r="D5" s="14" t="str">
        <f>TE!$Z$4</f>
        <v>CFURH</v>
      </c>
      <c r="E5" s="14" t="str">
        <f>TE!$AA$4</f>
        <v>CDE Covid TE</v>
      </c>
      <c r="F5" s="14" t="str">
        <f>TE!$AB$4</f>
        <v>CDE ELET</v>
      </c>
      <c r="G5" s="14" t="str">
        <f>TE!$AC$4</f>
        <v>ENERGIA REVENDA</v>
      </c>
      <c r="H5" s="14" t="str">
        <f>TE!$AD$4</f>
        <v>ITAIPU</v>
      </c>
      <c r="I5" s="14" t="str">
        <f>TE!$AE$4</f>
        <v>TUST ITAIPU</v>
      </c>
      <c r="J5" s="14" t="str">
        <f>TE!$AF$4</f>
        <v>TUST CI</v>
      </c>
      <c r="K5" s="14" t="str">
        <f>TE!$AG$4</f>
        <v>SUBSIDIO</v>
      </c>
      <c r="L5" s="14" t="str">
        <f>TE!$AH$4</f>
        <v>PERDAS RB/C</v>
      </c>
      <c r="M5" s="14" t="s">
        <v>405</v>
      </c>
      <c r="AA5" s="14" t="s">
        <v>43</v>
      </c>
      <c r="AD5" s="14" t="s">
        <v>29</v>
      </c>
      <c r="AG5" s="14" t="s">
        <v>74</v>
      </c>
    </row>
    <row r="6" spans="1:33" x14ac:dyDescent="0.2">
      <c r="A6" s="14" t="s">
        <v>980</v>
      </c>
      <c r="B6" s="39">
        <f>SUM(TE!$X$47:'TE'!$X$83)</f>
        <v>0</v>
      </c>
      <c r="C6" s="39">
        <f>SUM(TE!$Y$47:'TE'!$Y$83)</f>
        <v>0</v>
      </c>
      <c r="D6" s="39">
        <f>SUM(TE!$Z$47:'TE'!$Z$83)</f>
        <v>0</v>
      </c>
      <c r="E6" s="39">
        <f>SUM(TE!$AA$47:'TE'!$AA$83)</f>
        <v>0</v>
      </c>
      <c r="F6" s="39">
        <f>SUM(TE!$AB$47:'TE'!$AB$83)</f>
        <v>0</v>
      </c>
      <c r="G6" s="39">
        <f>SUM(TE!$AC$47:'TE'!$AC$83)</f>
        <v>5342688.5428812411</v>
      </c>
      <c r="H6" s="39">
        <f>SUM(TE!$AD$47:'TE'!$AD$83)</f>
        <v>0</v>
      </c>
      <c r="I6" s="39">
        <f>SUM(TE!$AE$47:'TE'!$AE$83)</f>
        <v>0</v>
      </c>
      <c r="J6" s="39">
        <f>SUM(TE!$AF$47:'TE'!$AF$83)</f>
        <v>0</v>
      </c>
      <c r="K6" s="39">
        <f>SUM(TE!$AG$47:'TE'!$AG$83)</f>
        <v>0</v>
      </c>
      <c r="L6" s="39">
        <f>SUM(TE!$AH$47:'TE'!$AH$83)</f>
        <v>0</v>
      </c>
      <c r="M6" s="39">
        <f t="shared" ref="M6:M11" si="0">SUM(B6:L6)</f>
        <v>5342688.5428812411</v>
      </c>
      <c r="AD6" s="14" t="s">
        <v>30</v>
      </c>
    </row>
    <row r="7" spans="1:33" x14ac:dyDescent="0.2">
      <c r="A7" s="14" t="s">
        <v>981</v>
      </c>
      <c r="B7" s="39">
        <f>SUM(TE!$L$47:'TE'!$L$83)</f>
        <v>0</v>
      </c>
      <c r="C7" s="39">
        <f>SUM(TE!$M$47:'TE'!$M$83)</f>
        <v>280804.90269089106</v>
      </c>
      <c r="D7" s="39">
        <f>SUM(TE!$N$47:'TE'!$N$83)</f>
        <v>0</v>
      </c>
      <c r="E7" s="39">
        <f>SUM(TE!$O$47:'TE'!$O$83)</f>
        <v>0</v>
      </c>
      <c r="F7" s="39">
        <f>SUM(TE!$P$47:'TE'!$P$83)</f>
        <v>0</v>
      </c>
      <c r="G7" s="39">
        <f>SUM(TE!$Q$47:'TE'!$Q$83)</f>
        <v>3611812.7461215658</v>
      </c>
      <c r="H7" s="39">
        <f>SUM(TE!$R$47:'TE'!$R$83)</f>
        <v>0</v>
      </c>
      <c r="I7" s="39">
        <f>SUM(TE!$S$47:'TE'!$S$83)</f>
        <v>0</v>
      </c>
      <c r="J7" s="39">
        <f>SUM(TE!$T$47:'TE'!$T$83)</f>
        <v>0</v>
      </c>
      <c r="K7" s="39">
        <f>SUM(TE!$U$47:'TE'!$U$83)</f>
        <v>0</v>
      </c>
      <c r="L7" s="39">
        <f>SUM(TE!$V$47:'TE'!$V$83)</f>
        <v>0</v>
      </c>
      <c r="M7" s="39">
        <f t="shared" si="0"/>
        <v>3892617.648812457</v>
      </c>
      <c r="AD7" s="14" t="s">
        <v>85</v>
      </c>
    </row>
    <row r="8" spans="1:33" x14ac:dyDescent="0.2">
      <c r="A8" s="14" t="s">
        <v>984</v>
      </c>
      <c r="B8" s="39">
        <f>IF($G$2&lt;&gt;"Não se aplica",SUMIF(TE!$G$47:'TE'!$G$83,$I$2,TE!$X$47:'TE'!$X$83),IF($F$2&lt;&gt;"Não se aplica",SUMIF(TE!$F$47:'TE'!$F$83,$I$2,TE!$X$47:'TE'!$X$83),IF($E$2&lt;&gt;"Não se aplica",SUMIF(TE!$E$47:'TE'!$E$83,$I$2,TE!$X$47:'TE'!$X$83),IF($D$2&lt;&gt;"Não se aplica",SUMIF(TE!$D$47:'TE'!$D$83,$I$2,TE!$X$47:'TE'!$X$83),IF($C$2&lt;&gt;"Não se aplica",SUMIF(TE!$C$47:'TE'!$C$83,$I$2,TE!$X$47:'TE'!$X$83),IF($B$2&lt;&gt;"Não se aplica",SUMIF(TE!$B$47:'TE'!$B$83,$I$2,TE!$X$47:'TE'!$X$83),SUMIF(TE!$A$47:'TE'!$A$83,$I$2,TE!$X$47:'TE'!$X$83)))))))</f>
        <v>0</v>
      </c>
      <c r="C8" s="39">
        <f>IF($G$2&lt;&gt;"Não se aplica",SUMIF(TE!$G$47:'TE'!$G$83,$I$2,TE!$Y$47:'TE'!$Y$83),IF($F$2&lt;&gt;"Não se aplica",SUMIF(TE!$F$47:'TE'!$F$83,$I$2,TE!$Y$47:'TE'!$Y$83),IF($E$2&lt;&gt;"Não se aplica",SUMIF(TE!$E$47:'TE'!$E$83,$I$2,TE!$Y$47:'TE'!$Y$83),IF($D$2&lt;&gt;"Não se aplica",SUMIF(TE!$D$47:'TE'!$D$83,$I$2,TE!$Y$47:'TE'!$Y$83),IF($C$2&lt;&gt;"Não se aplica",SUMIF(TE!$C$47:'TE'!$C$83,$I$2,TE!$Y$47:'TE'!$Y$83),IF($B$2&lt;&gt;"Não se aplica",SUMIF(TE!$B$47:'TE'!$B$83,$I$2,TE!$Y$47:'TE'!$Y$83),SUMIF(TE!$A$47:'TE'!$A$83,$I$2,TE!$Y$47:'TE'!$Y$83)))))))</f>
        <v>0</v>
      </c>
      <c r="D8" s="39">
        <f>IF($G$2&lt;&gt;"Não se aplica",SUMIF(TE!$G$47:'TE'!$G$83,$I$2,TE!$Z$47:'TE'!$Z$83),IF($F$2&lt;&gt;"Não se aplica",SUMIF(TE!$F$47:'TE'!$F$83,$I$2,TE!$Z$47:'TE'!$Z$83),IF($E$2&lt;&gt;"Não se aplica",SUMIF(TE!$E$47:'TE'!$E$83,$I$2,TE!$Z$47:'TE'!$Z$83),IF($D$2&lt;&gt;"Não se aplica",SUMIF(TE!$D$47:'TE'!$D$83,$I$2,TE!$Z$47:'TE'!$Z$83),IF($C$2&lt;&gt;"Não se aplica",SUMIF(TE!$C$47:'TE'!$C$83,$I$2,TE!$Z$47:'TE'!$Z$83),IF($B$2&lt;&gt;"Não se aplica",SUMIF(TE!$B$47:'TE'!$B$83,$I$2,TE!$Z$47:'TE'!$Z$83),SUMIF(TE!$A$47:'TE'!$A$83,$I$2,TE!$Z$47:'TE'!$Z$83)))))))</f>
        <v>0</v>
      </c>
      <c r="E8" s="39">
        <f>IF($G$2&lt;&gt;"Não se aplica",SUMIF(TE!$G$47:'TE'!$G$83,$I$2,TE!$AA$47:'TE'!$AA$83),IF($F$2&lt;&gt;"Não se aplica",SUMIF(TE!$F$47:'TE'!$F$83,$I$2,TE!$AA$47:'TE'!$AA$83),IF($E$2&lt;&gt;"Não se aplica",SUMIF(TE!$E$47:'TE'!$E$83,$I$2,TE!$AA$47:'TE'!$AA$83),IF($D$2&lt;&gt;"Não se aplica",SUMIF(TE!$D$47:'TE'!$D$83,$I$2,TE!$AA$47:'TE'!$AA$83),IF($C$2&lt;&gt;"Não se aplica",SUMIF(TE!$C$47:'TE'!$C$83,$I$2,TE!$AA$47:'TE'!$AA$83),IF($B$2&lt;&gt;"Não se aplica",SUMIF(TE!$B$47:'TE'!$B$83,$I$2,TE!$AA$47:'TE'!$AA$83),SUMIF(TE!$A$47:'TE'!$A$83,$I$2,TE!$AA$47:'TE'!$AA$83)))))))</f>
        <v>0</v>
      </c>
      <c r="F8" s="39">
        <f>IF($G$2&lt;&gt;"Não se aplica",SUMIF(TE!$G$47:'TE'!$G$83,$I$2,TE!$AB$47:'TE'!$AB$83),IF($F$2&lt;&gt;"Não se aplica",SUMIF(TE!$F$47:'TE'!$F$83,$I$2,TE!$AB$47:'TE'!$AB$83),IF($E$2&lt;&gt;"Não se aplica",SUMIF(TE!$E$47:'TE'!$E$83,$I$2,TE!$AB$47:'TE'!$AB$83),IF($D$2&lt;&gt;"Não se aplica",SUMIF(TE!$D$47:'TE'!$D$83,$I$2,TE!$AB$47:'TE'!$AB$83),IF($C$2&lt;&gt;"Não se aplica",SUMIF(TE!$C$47:'TE'!$C$83,$I$2,TE!$AB$47:'TE'!$AB$83),IF($B$2&lt;&gt;"Não se aplica",SUMIF(TE!$B$47:'TE'!$B$83,$I$2,TE!$AB$47:'TE'!$AB$83),SUMIF(TE!$A$47:'TE'!$A$83,$I$2,TE!$AB$47:'TE'!$AB$83)))))))</f>
        <v>0</v>
      </c>
      <c r="G8" s="39">
        <f>IF($G$2&lt;&gt;"Não se aplica",SUMIF(TE!$G$47:'TE'!$G$83,$I$2,TE!$AC$47:'TE'!$AC$83),IF($F$2&lt;&gt;"Não se aplica",SUMIF(TE!$F$47:'TE'!$F$83,$I$2,TE!$AC$47:'TE'!$AC$83),IF($E$2&lt;&gt;"Não se aplica",SUMIF(TE!$E$47:'TE'!$E$83,$I$2,TE!$AC$47:'TE'!$AC$83),IF($D$2&lt;&gt;"Não se aplica",SUMIF(TE!$D$47:'TE'!$D$83,$I$2,TE!$AC$47:'TE'!$AC$83),IF($C$2&lt;&gt;"Não se aplica",SUMIF(TE!$C$47:'TE'!$C$83,$I$2,TE!$AC$47:'TE'!$AC$83),IF($B$2&lt;&gt;"Não se aplica",SUMIF(TE!$B$47:'TE'!$B$83,$I$2,TE!$AC$47:'TE'!$AC$83),SUMIF(TE!$A$47:'TE'!$A$83,$I$2,TE!$AC$47:'TE'!$AC$83)))))))</f>
        <v>3495480.3549810457</v>
      </c>
      <c r="H8" s="39">
        <f>IF($G$2&lt;&gt;"Não se aplica",SUMIF(TE!$G$47:'TE'!$G$83,$I$2,TE!$AD$47:'TE'!$AD$83),IF($F$2&lt;&gt;"Não se aplica",SUMIF(TE!$F$47:'TE'!$F$83,$I$2,TE!$AD$47:'TE'!$AD$83),IF($E$2&lt;&gt;"Não se aplica",SUMIF(TE!$E$47:'TE'!$E$83,$I$2,TE!$AD$47:'TE'!$AD$83),IF($D$2&lt;&gt;"Não se aplica",SUMIF(TE!$D$47:'TE'!$D$83,$I$2,TE!$AD$47:'TE'!$AD$83),IF($C$2&lt;&gt;"Não se aplica",SUMIF(TE!$C$47:'TE'!$C$83,$I$2,TE!$AD$47:'TE'!$AD$83),IF($B$2&lt;&gt;"Não se aplica",SUMIF(TE!$B$47:'TE'!$B$83,$I$2,TE!$AD$47:'TE'!$AD$83),SUMIF(TE!$A$47:'TE'!$A$83,$I$2,TE!$AD$47:'TE'!$AD$83)))))))</f>
        <v>0</v>
      </c>
      <c r="I8" s="39">
        <f>IF($G$2&lt;&gt;"Não se aplica",SUMIF(TE!$G$47:'TE'!$G$83,$I$2,TE!$AE$47:'TE'!$AE$83),IF($F$2&lt;&gt;"Não se aplica",SUMIF(TE!$F$47:'TE'!$F$83,$I$2,TE!$AE$47:'TE'!$AE$83),IF($E$2&lt;&gt;"Não se aplica",SUMIF(TE!$E$47:'TE'!$E$83,$I$2,TE!$AE$47:'TE'!$AE$83),IF($D$2&lt;&gt;"Não se aplica",SUMIF(TE!$D$47:'TE'!$D$83,$I$2,TE!$AE$47:'TE'!$AE$83),IF($C$2&lt;&gt;"Não se aplica",SUMIF(TE!$C$47:'TE'!$C$83,$I$2,TE!$AE$47:'TE'!$AE$83),IF($B$2&lt;&gt;"Não se aplica",SUMIF(TE!$B$47:'TE'!$B$83,$I$2,TE!$AE$47:'TE'!$AE$83),SUMIF(TE!$A$47:'TE'!$A$83,$I$2,TE!$AE$47:'TE'!$AE$83)))))))</f>
        <v>0</v>
      </c>
      <c r="J8" s="39">
        <f>IF($G$2&lt;&gt;"Não se aplica",SUMIF(TE!$G$47:'TE'!$G$83,$I$2,TE!$AF$47:'TE'!$AF$83),IF($F$2&lt;&gt;"Não se aplica",SUMIF(TE!$F$47:'TE'!$F$83,$I$2,TE!$AF$47:'TE'!$AF$83),IF($E$2&lt;&gt;"Não se aplica",SUMIF(TE!$E$47:'TE'!$E$83,$I$2,TE!$AF$47:'TE'!$AF$83),IF($D$2&lt;&gt;"Não se aplica",SUMIF(TE!$D$47:'TE'!$D$83,$I$2,TE!$AF$47:'TE'!$AF$83),IF($C$2&lt;&gt;"Não se aplica",SUMIF(TE!$C$47:'TE'!$C$83,$I$2,TE!$AF$47:'TE'!$AF$83),IF($B$2&lt;&gt;"Não se aplica",SUMIF(TE!$B$47:'TE'!$B$83,$I$2,TE!$AF$47:'TE'!$AF$83),SUMIF(TE!$A$47:'TE'!$A$83,$I$2,TE!$AF$47:'TE'!$AF$83)))))))</f>
        <v>0</v>
      </c>
      <c r="K8" s="39">
        <f>IF($G$2&lt;&gt;"Não se aplica",SUMIF(TE!$G$47:'TE'!$G$83,$I$2,TE!$AG$47:'TE'!$AG$83),IF($F$2&lt;&gt;"Não se aplica",SUMIF(TE!$F$47:'TE'!$F$83,$I$2,TE!$AG$47:'TE'!$AG$83),IF($E$2&lt;&gt;"Não se aplica",SUMIF(TE!$E$47:'TE'!$E$83,$I$2,TE!$AG$47:'TE'!$AG$83),IF($D$2&lt;&gt;"Não se aplica",SUMIF(TE!$D$47:'TE'!$D$83,$I$2,TE!$AG$47:'TE'!$AG$83),IF($C$2&lt;&gt;"Não se aplica",SUMIF(TE!$C$47:'TE'!$C$83,$I$2,TE!$AG$47:'TE'!$AG$83),IF($B$2&lt;&gt;"Não se aplica",SUMIF(TE!$B$47:'TE'!$B$83,$I$2,TE!$AG$47:'TE'!$AG$83),SUMIF(TE!$A$47:'TE'!$A$83,$I$2,TE!$AG$47:'TE'!$AG$83)))))))</f>
        <v>0</v>
      </c>
      <c r="L8" s="39">
        <f>IF($G$2&lt;&gt;"Não se aplica",SUMIF(TE!$G$47:'TE'!$G$83,$I$2,TE!$AH$47:'TE'!$AH$83),IF($F$2&lt;&gt;"Não se aplica",SUMIF(TE!$F$47:'TE'!$F$83,$I$2,TE!$AH$47:'TE'!$AH$83),IF($E$2&lt;&gt;"Não se aplica",SUMIF(TE!$E$47:'TE'!$E$83,$I$2,TE!$AH$47:'TE'!$AH$83),IF($D$2&lt;&gt;"Não se aplica",SUMIF(TE!$D$47:'TE'!$D$83,$I$2,TE!$AH$47:'TE'!$AH$83),IF($C$2&lt;&gt;"Não se aplica",SUMIF(TE!$C$47:'TE'!$C$83,$I$2,TE!$AH$47:'TE'!$AH$83),IF($B$2&lt;&gt;"Não se aplica",SUMIF(TE!$B$47:'TE'!$B$83,$I$2,TE!$AH$47:'TE'!$AH$83),SUMIF(TE!$A$47:'TE'!$A$83,$I$2,TE!$AH$47:'TE'!$AH$83)))))))</f>
        <v>0</v>
      </c>
      <c r="M8" s="39">
        <f t="shared" si="0"/>
        <v>3495480.3549810457</v>
      </c>
      <c r="AD8" s="14" t="s">
        <v>86</v>
      </c>
    </row>
    <row r="9" spans="1:33" x14ac:dyDescent="0.2">
      <c r="A9" s="14" t="s">
        <v>985</v>
      </c>
      <c r="B9" s="39">
        <f>IF($G$2&lt;&gt;"Não se aplica",SUMIF(TE!$G$47:'TE'!$G$83,$I$2,TE!$L$47:'TE'!$L$83),IF($F$2&lt;&gt;"Não se aplica",SUMIF(TE!$F$47:'TE'!$F$83,$I$2,TE!$L$47:'TE'!$L$83),IF($E$2&lt;&gt;"Não se aplica",SUMIF(TE!$E$47:'TE'!$E$83,$I$2,TE!$L$47:'TE'!$L$83),IF($D$2&lt;&gt;"Não se aplica",SUMIF(TE!$D$47:'TE'!$D$83,$I$2,TE!$L$47:'TE'!$L$83),IF($C$2&lt;&gt;"Não se aplica",SUMIF(TE!$C$47:'TE'!$C$83,$I$2,TE!$L$47:'TE'!$L$83),IF($B$2&lt;&gt;"Não se aplica",SUMIF(TE!$B$47:'TE'!$B$83,$I$2,TE!$L$47:'TE'!$L$83),SUMIF(TE!$A$47:'TE'!$A$83,$I$2,TE!$L$47:'TE'!$L$83)))))))</f>
        <v>0</v>
      </c>
      <c r="C9" s="39">
        <f>IF($G$2&lt;&gt;"Não se aplica",SUMIF(TE!$G$47:'TE'!$G$83,$I$2,TE!$M$47:'TE'!$M$83),IF($F$2&lt;&gt;"Não se aplica",SUMIF(TE!$F$47:'TE'!$F$83,$I$2,TE!$M$47:'TE'!$M$83),IF($E$2&lt;&gt;"Não se aplica",SUMIF(TE!$E$47:'TE'!$E$83,$I$2,TE!$M$47:'TE'!$M$83),IF($D$2&lt;&gt;"Não se aplica",SUMIF(TE!$D$47:'TE'!$D$83,$I$2,TE!$M$47:'TE'!$M$83),IF($C$2&lt;&gt;"Não se aplica",SUMIF(TE!$C$47:'TE'!$C$83,$I$2,TE!$M$47:'TE'!$M$83),IF($B$2&lt;&gt;"Não se aplica",SUMIF(TE!$B$47:'TE'!$B$83,$I$2,TE!$M$47:'TE'!$M$83),SUMIF(TE!$A$47:'TE'!$A$83,$I$2,TE!$M$47:'TE'!$M$83)))))))</f>
        <v>180117.23033285054</v>
      </c>
      <c r="D9" s="39">
        <f>IF($G$2&lt;&gt;"Não se aplica",SUMIF(TE!$G$47:'TE'!$G$83,$I$2,TE!$N$47:'TE'!$N$83),IF($F$2&lt;&gt;"Não se aplica",SUMIF(TE!$F$47:'TE'!$F$83,$I$2,TE!$N$47:'TE'!$N$83),IF($E$2&lt;&gt;"Não se aplica",SUMIF(TE!$E$47:'TE'!$E$83,$I$2,TE!$N$47:'TE'!$N$83),IF($D$2&lt;&gt;"Não se aplica",SUMIF(TE!$D$47:'TE'!$D$83,$I$2,TE!$N$47:'TE'!$N$83),IF($C$2&lt;&gt;"Não se aplica",SUMIF(TE!$C$47:'TE'!$C$83,$I$2,TE!$N$47:'TE'!$N$83),IF($B$2&lt;&gt;"Não se aplica",SUMIF(TE!$B$47:'TE'!$B$83,$I$2,TE!$N$47:'TE'!$N$83),SUMIF(TE!$A$47:'TE'!$A$83,$I$2,TE!$N$47:'TE'!$N$83)))))))</f>
        <v>0</v>
      </c>
      <c r="E9" s="39">
        <f>IF($G$2&lt;&gt;"Não se aplica",SUMIF(TE!$G$47:'TE'!$G$83,$I$2,TE!$O$47:'TE'!$O$83),IF($F$2&lt;&gt;"Não se aplica",SUMIF(TE!$F$47:'TE'!$F$83,$I$2,TE!$O$47:'TE'!$O$83),IF($E$2&lt;&gt;"Não se aplica",SUMIF(TE!$E$47:'TE'!$E$83,$I$2,TE!$O$47:'TE'!$O$83),IF($D$2&lt;&gt;"Não se aplica",SUMIF(TE!$D$47:'TE'!$D$83,$I$2,TE!$O$47:'TE'!$O$83),IF($C$2&lt;&gt;"Não se aplica",SUMIF(TE!$C$47:'TE'!$C$83,$I$2,TE!$O$47:'TE'!$O$83),IF($B$2&lt;&gt;"Não se aplica",SUMIF(TE!$B$47:'TE'!$B$83,$I$2,TE!$O$47:'TE'!$O$83),SUMIF(TE!$A$47:'TE'!$A$83,$I$2,TE!$O$47:'TE'!$O$83)))))))</f>
        <v>0</v>
      </c>
      <c r="F9" s="39">
        <f>IF($G$2&lt;&gt;"Não se aplica",SUMIF(TE!$G$47:'TE'!$G$83,$I$2,TE!$P$47:'TE'!$P$83),IF($F$2&lt;&gt;"Não se aplica",SUMIF(TE!$F$47:'TE'!$F$83,$I$2,TE!$P$47:'TE'!$P$83),IF($E$2&lt;&gt;"Não se aplica",SUMIF(TE!$E$47:'TE'!$E$83,$I$2,TE!$P$47:'TE'!$P$83),IF($D$2&lt;&gt;"Não se aplica",SUMIF(TE!$D$47:'TE'!$D$83,$I$2,TE!$P$47:'TE'!$P$83),IF($C$2&lt;&gt;"Não se aplica",SUMIF(TE!$C$47:'TE'!$C$83,$I$2,TE!$P$47:'TE'!$P$83),IF($B$2&lt;&gt;"Não se aplica",SUMIF(TE!$B$47:'TE'!$B$83,$I$2,TE!$P$47:'TE'!$P$83),SUMIF(TE!$A$47:'TE'!$A$83,$I$2,TE!$P$47:'TE'!$P$83)))))))</f>
        <v>0</v>
      </c>
      <c r="G9" s="39">
        <f>IF($G$2&lt;&gt;"Não se aplica",SUMIF(TE!$G$47:'TE'!$G$83,$I$2,TE!$Q$47:'TE'!$Q$83),IF($F$2&lt;&gt;"Não se aplica",SUMIF(TE!$F$47:'TE'!$F$83,$I$2,TE!$Q$47:'TE'!$Q$83),IF($E$2&lt;&gt;"Não se aplica",SUMIF(TE!$E$47:'TE'!$E$83,$I$2,TE!$Q$47:'TE'!$Q$83),IF($D$2&lt;&gt;"Não se aplica",SUMIF(TE!$D$47:'TE'!$D$83,$I$2,TE!$Q$47:'TE'!$Q$83),IF($C$2&lt;&gt;"Não se aplica",SUMIF(TE!$C$47:'TE'!$C$83,$I$2,TE!$Q$47:'TE'!$Q$83),IF($B$2&lt;&gt;"Não se aplica",SUMIF(TE!$B$47:'TE'!$B$83,$I$2,TE!$Q$47:'TE'!$Q$83),SUMIF(TE!$A$47:'TE'!$A$83,$I$2,TE!$Q$47:'TE'!$Q$83)))))))</f>
        <v>2316732.0159948426</v>
      </c>
      <c r="H9" s="39">
        <f>IF($G$2&lt;&gt;"Não se aplica",SUMIF(TE!$G$47:'TE'!$G$83,$I$2,TE!$R$47:'TE'!$R$83),IF($F$2&lt;&gt;"Não se aplica",SUMIF(TE!$F$47:'TE'!$F$83,$I$2,TE!$R$47:'TE'!$R$83),IF($E$2&lt;&gt;"Não se aplica",SUMIF(TE!$E$47:'TE'!$E$83,$I$2,TE!$R$47:'TE'!$R$83),IF($D$2&lt;&gt;"Não se aplica",SUMIF(TE!$D$47:'TE'!$D$83,$I$2,TE!$R$47:'TE'!$R$83),IF($C$2&lt;&gt;"Não se aplica",SUMIF(TE!$C$47:'TE'!$C$83,$I$2,TE!$R$47:'TE'!$R$83),IF($B$2&lt;&gt;"Não se aplica",SUMIF(TE!$B$47:'TE'!$B$83,$I$2,TE!$R$47:'TE'!$R$83),SUMIF(TE!$A$47:'TE'!$A$83,$I$2,TE!$R$47:'TE'!$R$83)))))))</f>
        <v>0</v>
      </c>
      <c r="I9" s="39">
        <f>IF($G$2&lt;&gt;"Não se aplica",SUMIF(TE!$G$47:'TE'!$G$83,$I$2,TE!$S$47:'TE'!$S$83),IF($F$2&lt;&gt;"Não se aplica",SUMIF(TE!$F$47:'TE'!$F$83,$I$2,TE!$S$47:'TE'!$S$83),IF($E$2&lt;&gt;"Não se aplica",SUMIF(TE!$E$47:'TE'!$E$83,$I$2,TE!$S$47:'TE'!$S$83),IF($D$2&lt;&gt;"Não se aplica",SUMIF(TE!$D$47:'TE'!$D$83,$I$2,TE!$S$47:'TE'!$S$83),IF($C$2&lt;&gt;"Não se aplica",SUMIF(TE!$C$47:'TE'!$C$83,$I$2,TE!$S$47:'TE'!$S$83),IF($B$2&lt;&gt;"Não se aplica",SUMIF(TE!$B$47:'TE'!$B$83,$I$2,TE!$S$47:'TE'!$S$83),SUMIF(TE!$A$47:'TE'!$A$83,$I$2,TE!$S$47:'TE'!$S$83)))))))</f>
        <v>0</v>
      </c>
      <c r="J9" s="39">
        <f>IF($G$2&lt;&gt;"Não se aplica",SUMIF(TE!$G$47:'TE'!$G$83,$I$2,TE!$T$47:'TE'!$T$83),IF($F$2&lt;&gt;"Não se aplica",SUMIF(TE!$F$47:'TE'!$F$83,$I$2,TE!$T$47:'TE'!$T$83),IF($E$2&lt;&gt;"Não se aplica",SUMIF(TE!$E$47:'TE'!$E$83,$I$2,TE!$T$47:'TE'!$T$83),IF($D$2&lt;&gt;"Não se aplica",SUMIF(TE!$D$47:'TE'!$D$83,$I$2,TE!$T$47:'TE'!$T$83),IF($C$2&lt;&gt;"Não se aplica",SUMIF(TE!$C$47:'TE'!$C$83,$I$2,TE!$T$47:'TE'!$T$83),IF($B$2&lt;&gt;"Não se aplica",SUMIF(TE!$B$47:'TE'!$B$83,$I$2,TE!$T$47:'TE'!$T$83),SUMIF(TE!$A$47:'TE'!$A$83,$I$2,TE!$T$47:'TE'!$T$83)))))))</f>
        <v>0</v>
      </c>
      <c r="K9" s="39">
        <f>IF($G$2&lt;&gt;"Não se aplica",SUMIF(TE!$G$47:'TE'!$G$83,$I$2,TE!$U$47:'TE'!$U$83),IF($F$2&lt;&gt;"Não se aplica",SUMIF(TE!$F$47:'TE'!$F$83,$I$2,TE!$U$47:'TE'!$U$83),IF($E$2&lt;&gt;"Não se aplica",SUMIF(TE!$E$47:'TE'!$E$83,$I$2,TE!$U$47:'TE'!$U$83),IF($D$2&lt;&gt;"Não se aplica",SUMIF(TE!$D$47:'TE'!$D$83,$I$2,TE!$U$47:'TE'!$U$83),IF($C$2&lt;&gt;"Não se aplica",SUMIF(TE!$C$47:'TE'!$C$83,$I$2,TE!$U$47:'TE'!$U$83),IF($B$2&lt;&gt;"Não se aplica",SUMIF(TE!$B$47:'TE'!$B$83,$I$2,TE!$U$47:'TE'!$U$83),SUMIF(TE!$A$47:'TE'!$A$83,$I$2,TE!$U$47:'TE'!$U$83)))))))</f>
        <v>0</v>
      </c>
      <c r="L9" s="39">
        <f>IF($G$2&lt;&gt;"Não se aplica",SUMIF(TE!$G$47:'TE'!$G$83,$I$2,TE!$V$47:'TE'!$V$83),IF($F$2&lt;&gt;"Não se aplica",SUMIF(TE!$F$47:'TE'!$F$83,$I$2,TE!$V$47:'TE'!$V$83),IF($E$2&lt;&gt;"Não se aplica",SUMIF(TE!$E$47:'TE'!$E$83,$I$2,TE!$V$47:'TE'!$V$83),IF($D$2&lt;&gt;"Não se aplica",SUMIF(TE!$D$47:'TE'!$D$83,$I$2,TE!$V$47:'TE'!$V$83),IF($C$2&lt;&gt;"Não se aplica",SUMIF(TE!$C$47:'TE'!$C$83,$I$2,TE!$V$47:'TE'!$V$83),IF($B$2&lt;&gt;"Não se aplica",SUMIF(TE!$B$47:'TE'!$B$83,$I$2,TE!$V$47:'TE'!$V$83),SUMIF(TE!$A$47:'TE'!$A$83,$I$2,TE!$V$47:'TE'!$V$83)))))))</f>
        <v>0</v>
      </c>
      <c r="M9" s="39">
        <f t="shared" si="0"/>
        <v>2496849.2463276931</v>
      </c>
      <c r="AD9" s="14" t="s">
        <v>45</v>
      </c>
    </row>
    <row r="10" spans="1:33" x14ac:dyDescent="0.2">
      <c r="A10" s="14" t="s">
        <v>982</v>
      </c>
      <c r="B10" s="39">
        <f>SUMIF(TE!$A$47:'TE'!$A$83,$A$2,TE!$X$47:'TE'!$X$83)</f>
        <v>0</v>
      </c>
      <c r="C10" s="39">
        <f>SUMIF(TE!$A$47:'TE'!$A$83,$A$2,TE!$Y$47:'TE'!$Y$83)</f>
        <v>0</v>
      </c>
      <c r="D10" s="39">
        <f>SUMIF(TE!$A$47:'TE'!$A$83,$A$2,TE!$Z$47:'TE'!$Z$83)</f>
        <v>0</v>
      </c>
      <c r="E10" s="39">
        <f>SUMIF(TE!$A$47:'TE'!$A$83,$A$2,TE!$AA$47:'TE'!$AA$83)</f>
        <v>0</v>
      </c>
      <c r="F10" s="39">
        <f>SUMIF(TE!$A$47:'TE'!$A$83,$A$2,TE!$AB$47:'TE'!$AB$83)</f>
        <v>0</v>
      </c>
      <c r="G10" s="39">
        <f>SUMIF(TE!$A$47:'TE'!$A$83,$A$2,TE!$AC$47:'TE'!$AC$83)</f>
        <v>3495480.3549810457</v>
      </c>
      <c r="H10" s="39">
        <f>SUMIF(TE!$A$47:'TE'!$A$83,$A$2,TE!$AD$47:'TE'!$AD$83)</f>
        <v>0</v>
      </c>
      <c r="I10" s="39">
        <f>SUMIF(TE!$A$47:'TE'!$A$83,$A$2,TE!$AE$47:'TE'!$AE$83)</f>
        <v>0</v>
      </c>
      <c r="J10" s="39">
        <f>SUMIF(TE!$A$47:'TE'!$A$83,$A$2,TE!$AF$47:'TE'!$AF$83)</f>
        <v>0</v>
      </c>
      <c r="K10" s="39">
        <f>SUMIF(TE!$A$47:'TE'!$A$83,$A$2,TE!$AG$47:'TE'!$AG$83)</f>
        <v>0</v>
      </c>
      <c r="L10" s="39">
        <f>SUMIF(TE!$A$47:'TE'!$A$83,$A$2,TE!$AH$47:'TE'!$AH$83)</f>
        <v>0</v>
      </c>
      <c r="M10" s="39">
        <f t="shared" si="0"/>
        <v>3495480.3549810457</v>
      </c>
      <c r="AD10" s="14" t="s">
        <v>87</v>
      </c>
    </row>
    <row r="11" spans="1:33" x14ac:dyDescent="0.2">
      <c r="A11" s="14" t="s">
        <v>983</v>
      </c>
      <c r="B11" s="39">
        <f>SUMIF(TE!$A$47:'TE'!$A$83,$A$2,TE!$L$47:'TE'!$L$83)</f>
        <v>0</v>
      </c>
      <c r="C11" s="39">
        <f>SUMIF(TE!$A$47:'TE'!$A$83,$A$2,TE!$M$47:'TE'!$M$83)</f>
        <v>180117.23033285054</v>
      </c>
      <c r="D11" s="39">
        <f>SUMIF(TE!$A$47:'TE'!$A$83,$A$2,TE!$N$47:'TE'!$N$83)</f>
        <v>0</v>
      </c>
      <c r="E11" s="39">
        <f>SUMIF(TE!$A$47:'TE'!$A$83,$A$2,TE!$O$47:'TE'!$O$83)</f>
        <v>0</v>
      </c>
      <c r="F11" s="39">
        <f>SUMIF(TE!$A$47:'TE'!$A$83,$A$2,TE!$P$47:'TE'!$P$83)</f>
        <v>0</v>
      </c>
      <c r="G11" s="39">
        <f>SUMIF(TE!$A$47:'TE'!$A$83,$A$2,TE!$Q$47:'TE'!$Q$83)</f>
        <v>2316732.0159948426</v>
      </c>
      <c r="H11" s="39">
        <f>SUMIF(TE!$A$47:'TE'!$A$83,$A$2,TE!$R$47:'TE'!$R$83)</f>
        <v>0</v>
      </c>
      <c r="I11" s="39">
        <f>SUMIF(TE!$A$47:'TE'!$A$83,$A$2,TE!$S$47:'TE'!$S$83)</f>
        <v>0</v>
      </c>
      <c r="J11" s="39">
        <f>SUMIF(TE!$A$47:'TE'!$A$83,$A$2,TE!$T$47:'TE'!$T$83)</f>
        <v>0</v>
      </c>
      <c r="K11" s="39">
        <f>SUMIF(TE!$A$47:'TE'!$A$83,$A$2,TE!$U$47:'TE'!$U$83)</f>
        <v>0</v>
      </c>
      <c r="L11" s="39">
        <f>SUMIF(TE!$A$47:'TE'!$A$83,$A$2,TE!$V$47:'TE'!$V$83)</f>
        <v>0</v>
      </c>
      <c r="M11" s="39">
        <f t="shared" si="0"/>
        <v>2496849.2463276931</v>
      </c>
    </row>
    <row r="13" spans="1:33" x14ac:dyDescent="0.2">
      <c r="A13" s="14" t="s">
        <v>987</v>
      </c>
      <c r="B13" s="57">
        <f t="shared" ref="B13:M13" si="1">IF($M$6&lt;&gt;0,(B$7-B$6)/$M$6,0)</f>
        <v>0</v>
      </c>
      <c r="C13" s="57">
        <f t="shared" si="1"/>
        <v>5.2558725899349672E-2</v>
      </c>
      <c r="D13" s="57">
        <f t="shared" si="1"/>
        <v>0</v>
      </c>
      <c r="E13" s="57">
        <f t="shared" si="1"/>
        <v>0</v>
      </c>
      <c r="F13" s="57">
        <f t="shared" si="1"/>
        <v>0</v>
      </c>
      <c r="G13" s="57">
        <f t="shared" si="1"/>
        <v>-0.32397093389730647</v>
      </c>
      <c r="H13" s="57">
        <f t="shared" si="1"/>
        <v>0</v>
      </c>
      <c r="I13" s="57">
        <f t="shared" si="1"/>
        <v>0</v>
      </c>
      <c r="J13" s="57">
        <f t="shared" si="1"/>
        <v>0</v>
      </c>
      <c r="K13" s="57">
        <f t="shared" si="1"/>
        <v>0</v>
      </c>
      <c r="L13" s="57">
        <f t="shared" si="1"/>
        <v>0</v>
      </c>
      <c r="M13" s="57">
        <f t="shared" si="1"/>
        <v>-0.27141220799795679</v>
      </c>
    </row>
    <row r="14" spans="1:33" x14ac:dyDescent="0.2">
      <c r="A14" s="14" t="s">
        <v>988</v>
      </c>
      <c r="B14" s="57">
        <f t="shared" ref="B14:M14" si="2">IF($M$10&lt;&gt;0,(B$9-B$8)/$M$10,0)</f>
        <v>0</v>
      </c>
      <c r="C14" s="57">
        <f t="shared" si="2"/>
        <v>5.1528606097352027E-2</v>
      </c>
      <c r="D14" s="57">
        <f t="shared" si="2"/>
        <v>0</v>
      </c>
      <c r="E14" s="57">
        <f t="shared" si="2"/>
        <v>0</v>
      </c>
      <c r="F14" s="57">
        <f t="shared" si="2"/>
        <v>0</v>
      </c>
      <c r="G14" s="57">
        <f t="shared" si="2"/>
        <v>-0.33722070195774134</v>
      </c>
      <c r="H14" s="57">
        <f t="shared" si="2"/>
        <v>0</v>
      </c>
      <c r="I14" s="57">
        <f t="shared" si="2"/>
        <v>0</v>
      </c>
      <c r="J14" s="57">
        <f t="shared" si="2"/>
        <v>0</v>
      </c>
      <c r="K14" s="57">
        <f t="shared" si="2"/>
        <v>0</v>
      </c>
      <c r="L14" s="57">
        <f t="shared" si="2"/>
        <v>0</v>
      </c>
      <c r="M14" s="57">
        <f t="shared" si="2"/>
        <v>-0.28569209586038929</v>
      </c>
    </row>
    <row r="15" spans="1:33" x14ac:dyDescent="0.2">
      <c r="A15" s="14" t="s">
        <v>989</v>
      </c>
      <c r="B15" s="57">
        <f t="shared" ref="B15:M15" si="3">IF($M$8&lt;&gt;0,(B$9-B$8)/$M$8,0)</f>
        <v>0</v>
      </c>
      <c r="C15" s="57">
        <f t="shared" si="3"/>
        <v>5.1528606097352027E-2</v>
      </c>
      <c r="D15" s="57">
        <f t="shared" si="3"/>
        <v>0</v>
      </c>
      <c r="E15" s="57">
        <f t="shared" si="3"/>
        <v>0</v>
      </c>
      <c r="F15" s="57">
        <f t="shared" si="3"/>
        <v>0</v>
      </c>
      <c r="G15" s="57">
        <f t="shared" si="3"/>
        <v>-0.33722070195774134</v>
      </c>
      <c r="H15" s="57">
        <f t="shared" si="3"/>
        <v>0</v>
      </c>
      <c r="I15" s="57">
        <f t="shared" si="3"/>
        <v>0</v>
      </c>
      <c r="J15" s="57">
        <f t="shared" si="3"/>
        <v>0</v>
      </c>
      <c r="K15" s="57">
        <f t="shared" si="3"/>
        <v>0</v>
      </c>
      <c r="L15" s="57">
        <f t="shared" si="3"/>
        <v>0</v>
      </c>
      <c r="M15" s="57">
        <f t="shared" si="3"/>
        <v>-0.28569209586038929</v>
      </c>
    </row>
  </sheetData>
  <dataValidations count="4">
    <dataValidation type="list" allowBlank="1" showInputMessage="1" showErrorMessage="1" sqref="A2 G2" xr:uid="{17472FC6-CFC4-4397-9037-1DCA96FAF48E}">
      <formula1>AA1:AA5</formula1>
    </dataValidation>
    <dataValidation type="list" allowBlank="1" showInputMessage="1" showErrorMessage="1" sqref="B2 C2" xr:uid="{80E81C2F-E235-4746-AEEE-20D5BA061641}">
      <formula1>AB1:AB4</formula1>
    </dataValidation>
    <dataValidation type="list" allowBlank="1" showInputMessage="1" showErrorMessage="1" sqref="D2" xr:uid="{A1548A6C-F92B-48ED-82B9-442A8614CBE8}">
      <formula1>AD1:AD10</formula1>
    </dataValidation>
    <dataValidation type="list" allowBlank="1" showInputMessage="1" showErrorMessage="1" sqref="E2 F2" xr:uid="{560A0980-DDD3-492E-8036-043D9F478D7D}">
      <formula1>AE1:AE1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1661-A3BC-4D07-835F-339042D4D95A}">
  <dimension ref="B1:U15"/>
  <sheetViews>
    <sheetView showGridLines="0" topLeftCell="J1" workbookViewId="0">
      <selection activeCell="U1" sqref="U1"/>
    </sheetView>
  </sheetViews>
  <sheetFormatPr defaultRowHeight="14.4" x14ac:dyDescent="0.3"/>
  <sheetData>
    <row r="1" spans="2:21" x14ac:dyDescent="0.3">
      <c r="B1" s="51" t="s">
        <v>601</v>
      </c>
      <c r="C1" s="51" t="s">
        <v>602</v>
      </c>
      <c r="D1" s="51" t="s">
        <v>603</v>
      </c>
      <c r="E1" s="51" t="s">
        <v>2</v>
      </c>
      <c r="F1" s="51" t="s">
        <v>604</v>
      </c>
      <c r="G1" s="51" t="s">
        <v>510</v>
      </c>
      <c r="H1" s="51" t="s">
        <v>3</v>
      </c>
      <c r="I1" s="51" t="s">
        <v>605</v>
      </c>
      <c r="J1" s="51" t="s">
        <v>5</v>
      </c>
      <c r="K1" s="51" t="s">
        <v>1</v>
      </c>
      <c r="L1" s="51" t="s">
        <v>606</v>
      </c>
      <c r="M1" s="51" t="s">
        <v>607</v>
      </c>
      <c r="N1" s="51" t="s">
        <v>608</v>
      </c>
      <c r="O1" s="51" t="s">
        <v>609</v>
      </c>
      <c r="P1" s="51" t="s">
        <v>610</v>
      </c>
      <c r="Q1" s="51" t="s">
        <v>611</v>
      </c>
      <c r="R1" s="51" t="s">
        <v>612</v>
      </c>
      <c r="S1" s="51" t="s">
        <v>613</v>
      </c>
      <c r="T1" s="51" t="s">
        <v>614</v>
      </c>
      <c r="U1" s="51" t="s">
        <v>615</v>
      </c>
    </row>
    <row r="2" spans="2:21" x14ac:dyDescent="0.3">
      <c r="B2" s="50" t="s">
        <v>586</v>
      </c>
      <c r="C2" s="50">
        <v>7942</v>
      </c>
      <c r="D2" s="50">
        <v>5373</v>
      </c>
      <c r="E2" s="50" t="s">
        <v>34</v>
      </c>
      <c r="F2" s="50">
        <v>1</v>
      </c>
      <c r="G2" s="50" t="s">
        <v>587</v>
      </c>
      <c r="H2" s="50" t="s">
        <v>46</v>
      </c>
      <c r="I2" s="50" t="s">
        <v>47</v>
      </c>
      <c r="J2" s="50" t="s">
        <v>536</v>
      </c>
      <c r="K2" s="50" t="s">
        <v>33</v>
      </c>
      <c r="L2" s="50">
        <v>0.15</v>
      </c>
      <c r="M2" s="50">
        <v>0.12</v>
      </c>
      <c r="N2" s="50">
        <v>0.09</v>
      </c>
      <c r="O2" s="50">
        <v>0.06</v>
      </c>
      <c r="P2" s="50">
        <v>0.03</v>
      </c>
      <c r="Q2" s="50">
        <v>0</v>
      </c>
      <c r="R2" s="50"/>
      <c r="S2" s="50"/>
      <c r="T2" s="50"/>
      <c r="U2" s="50">
        <v>3</v>
      </c>
    </row>
    <row r="3" spans="2:21" x14ac:dyDescent="0.3">
      <c r="B3" s="50" t="s">
        <v>588</v>
      </c>
      <c r="C3" s="50">
        <v>7943</v>
      </c>
      <c r="D3" s="50">
        <v>5373</v>
      </c>
      <c r="E3" s="50" t="s">
        <v>37</v>
      </c>
      <c r="F3" s="50">
        <v>1</v>
      </c>
      <c r="G3" s="50" t="s">
        <v>587</v>
      </c>
      <c r="H3" s="50" t="s">
        <v>46</v>
      </c>
      <c r="I3" s="50" t="s">
        <v>47</v>
      </c>
      <c r="J3" s="50" t="s">
        <v>536</v>
      </c>
      <c r="K3" s="50" t="s">
        <v>33</v>
      </c>
      <c r="L3" s="50">
        <v>0.15</v>
      </c>
      <c r="M3" s="50">
        <v>0.12</v>
      </c>
      <c r="N3" s="50">
        <v>0.09</v>
      </c>
      <c r="O3" s="50">
        <v>0.06</v>
      </c>
      <c r="P3" s="50">
        <v>0.03</v>
      </c>
      <c r="Q3" s="50">
        <v>0</v>
      </c>
      <c r="R3" s="50"/>
      <c r="S3" s="50"/>
      <c r="T3" s="50"/>
      <c r="U3" s="50">
        <v>3</v>
      </c>
    </row>
    <row r="4" spans="2:21" x14ac:dyDescent="0.3">
      <c r="B4" s="50" t="s">
        <v>589</v>
      </c>
      <c r="C4" s="50">
        <v>7944</v>
      </c>
      <c r="D4" s="50">
        <v>5373</v>
      </c>
      <c r="E4" s="50" t="s">
        <v>538</v>
      </c>
      <c r="F4" s="50">
        <v>1</v>
      </c>
      <c r="G4" s="50" t="s">
        <v>587</v>
      </c>
      <c r="H4" s="50" t="s">
        <v>46</v>
      </c>
      <c r="I4" s="50" t="s">
        <v>47</v>
      </c>
      <c r="J4" s="50" t="s">
        <v>536</v>
      </c>
      <c r="K4" s="50" t="s">
        <v>33</v>
      </c>
      <c r="L4" s="50">
        <v>0.15</v>
      </c>
      <c r="M4" s="50">
        <v>0.12</v>
      </c>
      <c r="N4" s="50">
        <v>0.09</v>
      </c>
      <c r="O4" s="50">
        <v>0.06</v>
      </c>
      <c r="P4" s="50">
        <v>0.03</v>
      </c>
      <c r="Q4" s="50">
        <v>0</v>
      </c>
      <c r="R4" s="50"/>
      <c r="S4" s="50"/>
      <c r="T4" s="50"/>
      <c r="U4" s="50">
        <v>3</v>
      </c>
    </row>
    <row r="5" spans="2:21" x14ac:dyDescent="0.3">
      <c r="B5" s="50" t="s">
        <v>590</v>
      </c>
      <c r="C5" s="50">
        <v>7945</v>
      </c>
      <c r="D5" s="50">
        <v>5373</v>
      </c>
      <c r="E5" s="50" t="s">
        <v>23</v>
      </c>
      <c r="F5" s="50">
        <v>1</v>
      </c>
      <c r="G5" s="50" t="s">
        <v>587</v>
      </c>
      <c r="H5" s="50" t="s">
        <v>46</v>
      </c>
      <c r="I5" s="50" t="s">
        <v>47</v>
      </c>
      <c r="J5" s="50" t="s">
        <v>536</v>
      </c>
      <c r="K5" s="50" t="s">
        <v>31</v>
      </c>
      <c r="L5" s="50">
        <v>0.15</v>
      </c>
      <c r="M5" s="50">
        <v>0.12</v>
      </c>
      <c r="N5" s="50">
        <v>0.09</v>
      </c>
      <c r="O5" s="50">
        <v>0.06</v>
      </c>
      <c r="P5" s="50">
        <v>0.03</v>
      </c>
      <c r="Q5" s="50">
        <v>0</v>
      </c>
      <c r="R5" s="50"/>
      <c r="S5" s="50"/>
      <c r="T5" s="50"/>
      <c r="U5" s="50">
        <v>3</v>
      </c>
    </row>
    <row r="6" spans="2:21" x14ac:dyDescent="0.3">
      <c r="B6" s="50" t="s">
        <v>591</v>
      </c>
      <c r="C6" s="50">
        <v>7946</v>
      </c>
      <c r="D6" s="50">
        <v>5373</v>
      </c>
      <c r="E6" s="50" t="s">
        <v>82</v>
      </c>
      <c r="F6" s="50">
        <v>1</v>
      </c>
      <c r="G6" s="50" t="s">
        <v>587</v>
      </c>
      <c r="H6" s="50" t="s">
        <v>46</v>
      </c>
      <c r="I6" s="50" t="s">
        <v>47</v>
      </c>
      <c r="J6" s="50" t="s">
        <v>536</v>
      </c>
      <c r="K6" s="50" t="s">
        <v>31</v>
      </c>
      <c r="L6" s="50">
        <v>0.15</v>
      </c>
      <c r="M6" s="50">
        <v>0.12</v>
      </c>
      <c r="N6" s="50">
        <v>0.09</v>
      </c>
      <c r="O6" s="50">
        <v>0.06</v>
      </c>
      <c r="P6" s="50">
        <v>0.03</v>
      </c>
      <c r="Q6" s="50">
        <v>0</v>
      </c>
      <c r="R6" s="50"/>
      <c r="S6" s="50"/>
      <c r="T6" s="50"/>
      <c r="U6" s="50">
        <v>3</v>
      </c>
    </row>
    <row r="7" spans="2:21" x14ac:dyDescent="0.3">
      <c r="B7" s="50" t="s">
        <v>592</v>
      </c>
      <c r="C7" s="50">
        <v>7947</v>
      </c>
      <c r="D7" s="50">
        <v>5373</v>
      </c>
      <c r="E7" s="50" t="s">
        <v>23</v>
      </c>
      <c r="F7" s="50">
        <v>1</v>
      </c>
      <c r="G7" s="50" t="s">
        <v>587</v>
      </c>
      <c r="H7" s="50" t="s">
        <v>40</v>
      </c>
      <c r="I7" s="50" t="s">
        <v>85</v>
      </c>
      <c r="J7" s="50" t="s">
        <v>536</v>
      </c>
      <c r="K7" s="50" t="s">
        <v>39</v>
      </c>
      <c r="L7" s="50">
        <v>0.3</v>
      </c>
      <c r="M7" s="50">
        <v>0.24</v>
      </c>
      <c r="N7" s="50">
        <v>0.18</v>
      </c>
      <c r="O7" s="50">
        <v>0.12</v>
      </c>
      <c r="P7" s="50">
        <v>0.06</v>
      </c>
      <c r="Q7" s="50">
        <v>0</v>
      </c>
      <c r="R7" s="50"/>
      <c r="S7" s="50"/>
      <c r="T7" s="50"/>
      <c r="U7" s="50">
        <v>3</v>
      </c>
    </row>
    <row r="8" spans="2:21" x14ac:dyDescent="0.3">
      <c r="B8" s="50" t="s">
        <v>593</v>
      </c>
      <c r="C8" s="50">
        <v>7948</v>
      </c>
      <c r="D8" s="50">
        <v>5373</v>
      </c>
      <c r="E8" s="50" t="s">
        <v>537</v>
      </c>
      <c r="F8" s="50">
        <v>1</v>
      </c>
      <c r="G8" s="50" t="s">
        <v>587</v>
      </c>
      <c r="H8" s="50" t="s">
        <v>40</v>
      </c>
      <c r="I8" s="50" t="s">
        <v>85</v>
      </c>
      <c r="J8" s="50" t="s">
        <v>536</v>
      </c>
      <c r="K8" s="50" t="s">
        <v>39</v>
      </c>
      <c r="L8" s="50">
        <v>0.3</v>
      </c>
      <c r="M8" s="50">
        <v>0.24</v>
      </c>
      <c r="N8" s="50">
        <v>0.18</v>
      </c>
      <c r="O8" s="50">
        <v>0.12</v>
      </c>
      <c r="P8" s="50">
        <v>0.06</v>
      </c>
      <c r="Q8" s="50">
        <v>0</v>
      </c>
      <c r="R8" s="50"/>
      <c r="S8" s="50"/>
      <c r="T8" s="50"/>
      <c r="U8" s="50">
        <v>3</v>
      </c>
    </row>
    <row r="9" spans="2:21" x14ac:dyDescent="0.3">
      <c r="B9" s="50" t="s">
        <v>594</v>
      </c>
      <c r="C9" s="50">
        <v>7949</v>
      </c>
      <c r="D9" s="50">
        <v>5373</v>
      </c>
      <c r="E9" s="50" t="s">
        <v>34</v>
      </c>
      <c r="F9" s="50">
        <v>1</v>
      </c>
      <c r="G9" s="50" t="s">
        <v>587</v>
      </c>
      <c r="H9" s="50" t="s">
        <v>40</v>
      </c>
      <c r="I9" s="50" t="s">
        <v>25</v>
      </c>
      <c r="J9" s="50" t="s">
        <v>535</v>
      </c>
      <c r="K9" s="50" t="s">
        <v>33</v>
      </c>
      <c r="L9" s="50">
        <v>0.1</v>
      </c>
      <c r="M9" s="50">
        <v>0.08</v>
      </c>
      <c r="N9" s="50">
        <v>0.06</v>
      </c>
      <c r="O9" s="50">
        <v>0.04</v>
      </c>
      <c r="P9" s="50">
        <v>0.02</v>
      </c>
      <c r="Q9" s="50">
        <v>0</v>
      </c>
      <c r="R9" s="50"/>
      <c r="S9" s="50"/>
      <c r="T9" s="50"/>
      <c r="U9" s="50">
        <v>3</v>
      </c>
    </row>
    <row r="10" spans="2:21" x14ac:dyDescent="0.3">
      <c r="B10" s="50" t="s">
        <v>595</v>
      </c>
      <c r="C10" s="50">
        <v>7950</v>
      </c>
      <c r="D10" s="50">
        <v>5373</v>
      </c>
      <c r="E10" s="50" t="s">
        <v>37</v>
      </c>
      <c r="F10" s="50">
        <v>1</v>
      </c>
      <c r="G10" s="50" t="s">
        <v>587</v>
      </c>
      <c r="H10" s="50" t="s">
        <v>40</v>
      </c>
      <c r="I10" s="50" t="s">
        <v>25</v>
      </c>
      <c r="J10" s="50" t="s">
        <v>535</v>
      </c>
      <c r="K10" s="50" t="s">
        <v>33</v>
      </c>
      <c r="L10" s="50">
        <v>0.1</v>
      </c>
      <c r="M10" s="50">
        <v>0.08</v>
      </c>
      <c r="N10" s="50">
        <v>0.06</v>
      </c>
      <c r="O10" s="50">
        <v>0.04</v>
      </c>
      <c r="P10" s="50">
        <v>0.02</v>
      </c>
      <c r="Q10" s="50">
        <v>0</v>
      </c>
      <c r="R10" s="50"/>
      <c r="S10" s="50"/>
      <c r="T10" s="50"/>
      <c r="U10" s="50">
        <v>3</v>
      </c>
    </row>
    <row r="11" spans="2:21" x14ac:dyDescent="0.3">
      <c r="B11" s="50" t="s">
        <v>596</v>
      </c>
      <c r="C11" s="50">
        <v>7951</v>
      </c>
      <c r="D11" s="50">
        <v>5373</v>
      </c>
      <c r="E11" s="50" t="s">
        <v>23</v>
      </c>
      <c r="F11" s="50">
        <v>1</v>
      </c>
      <c r="G11" s="50" t="s">
        <v>587</v>
      </c>
      <c r="H11" s="50" t="s">
        <v>40</v>
      </c>
      <c r="I11" s="50" t="s">
        <v>25</v>
      </c>
      <c r="J11" s="50" t="s">
        <v>535</v>
      </c>
      <c r="K11" s="50" t="s">
        <v>33</v>
      </c>
      <c r="L11" s="50">
        <v>0.1</v>
      </c>
      <c r="M11" s="50">
        <v>0.08</v>
      </c>
      <c r="N11" s="50">
        <v>0.06</v>
      </c>
      <c r="O11" s="50">
        <v>0.04</v>
      </c>
      <c r="P11" s="50">
        <v>0.02</v>
      </c>
      <c r="Q11" s="50">
        <v>0</v>
      </c>
      <c r="R11" s="50"/>
      <c r="S11" s="50"/>
      <c r="T11" s="50"/>
      <c r="U11" s="50">
        <v>3</v>
      </c>
    </row>
    <row r="12" spans="2:21" x14ac:dyDescent="0.3">
      <c r="B12" s="50" t="s">
        <v>597</v>
      </c>
      <c r="C12" s="50">
        <v>7952</v>
      </c>
      <c r="D12" s="50">
        <v>5373</v>
      </c>
      <c r="E12" s="50" t="s">
        <v>23</v>
      </c>
      <c r="F12" s="50">
        <v>1</v>
      </c>
      <c r="G12" s="50" t="s">
        <v>587</v>
      </c>
      <c r="H12" s="50" t="s">
        <v>40</v>
      </c>
      <c r="I12" s="50" t="s">
        <v>25</v>
      </c>
      <c r="J12" s="50" t="s">
        <v>40</v>
      </c>
      <c r="K12" s="50" t="s">
        <v>39</v>
      </c>
      <c r="L12" s="50">
        <v>0.3</v>
      </c>
      <c r="M12" s="50">
        <v>0.24</v>
      </c>
      <c r="N12" s="50">
        <v>0.18</v>
      </c>
      <c r="O12" s="50">
        <v>0.12</v>
      </c>
      <c r="P12" s="50">
        <v>0.06</v>
      </c>
      <c r="Q12" s="50">
        <v>0</v>
      </c>
      <c r="R12" s="50"/>
      <c r="S12" s="50"/>
      <c r="T12" s="50"/>
      <c r="U12" s="50">
        <v>3</v>
      </c>
    </row>
    <row r="13" spans="2:21" x14ac:dyDescent="0.3">
      <c r="B13" s="50" t="s">
        <v>598</v>
      </c>
      <c r="C13" s="50">
        <v>7953</v>
      </c>
      <c r="D13" s="50">
        <v>5373</v>
      </c>
      <c r="E13" s="50" t="s">
        <v>82</v>
      </c>
      <c r="F13" s="50">
        <v>1</v>
      </c>
      <c r="G13" s="50" t="s">
        <v>587</v>
      </c>
      <c r="H13" s="50" t="s">
        <v>40</v>
      </c>
      <c r="I13" s="50" t="s">
        <v>25</v>
      </c>
      <c r="J13" s="50" t="s">
        <v>40</v>
      </c>
      <c r="K13" s="50" t="s">
        <v>39</v>
      </c>
      <c r="L13" s="50">
        <v>0.3</v>
      </c>
      <c r="M13" s="50">
        <v>0.24</v>
      </c>
      <c r="N13" s="50">
        <v>0.18</v>
      </c>
      <c r="O13" s="50">
        <v>0.12</v>
      </c>
      <c r="P13" s="50">
        <v>0.06</v>
      </c>
      <c r="Q13" s="50">
        <v>0</v>
      </c>
      <c r="R13" s="50"/>
      <c r="S13" s="50"/>
      <c r="T13" s="50"/>
      <c r="U13" s="50">
        <v>3</v>
      </c>
    </row>
    <row r="14" spans="2:21" x14ac:dyDescent="0.3">
      <c r="B14" s="50" t="s">
        <v>599</v>
      </c>
      <c r="C14" s="50">
        <v>7954</v>
      </c>
      <c r="D14" s="50">
        <v>5373</v>
      </c>
      <c r="E14" s="50" t="s">
        <v>23</v>
      </c>
      <c r="F14" s="50">
        <v>1</v>
      </c>
      <c r="G14" s="50" t="s">
        <v>587</v>
      </c>
      <c r="H14" s="50" t="s">
        <v>40</v>
      </c>
      <c r="I14" s="50" t="s">
        <v>86</v>
      </c>
      <c r="J14" s="50" t="s">
        <v>536</v>
      </c>
      <c r="K14" s="50" t="s">
        <v>39</v>
      </c>
      <c r="L14" s="50">
        <v>0.4</v>
      </c>
      <c r="M14" s="50">
        <v>0.32</v>
      </c>
      <c r="N14" s="50">
        <v>0.24</v>
      </c>
      <c r="O14" s="50">
        <v>0.16</v>
      </c>
      <c r="P14" s="50">
        <v>0.08</v>
      </c>
      <c r="Q14" s="50">
        <v>0</v>
      </c>
      <c r="R14" s="50"/>
      <c r="S14" s="50"/>
      <c r="T14" s="50"/>
      <c r="U14" s="50">
        <v>3</v>
      </c>
    </row>
    <row r="15" spans="2:21" x14ac:dyDescent="0.3">
      <c r="B15" s="50" t="s">
        <v>600</v>
      </c>
      <c r="C15" s="50">
        <v>7955</v>
      </c>
      <c r="D15" s="50">
        <v>5373</v>
      </c>
      <c r="E15" s="50" t="s">
        <v>537</v>
      </c>
      <c r="F15" s="50">
        <v>1</v>
      </c>
      <c r="G15" s="50" t="s">
        <v>587</v>
      </c>
      <c r="H15" s="50" t="s">
        <v>40</v>
      </c>
      <c r="I15" s="50" t="s">
        <v>86</v>
      </c>
      <c r="J15" s="50" t="s">
        <v>536</v>
      </c>
      <c r="K15" s="50" t="s">
        <v>39</v>
      </c>
      <c r="L15" s="50">
        <v>0.4</v>
      </c>
      <c r="M15" s="50">
        <v>0.32</v>
      </c>
      <c r="N15" s="50">
        <v>0.24</v>
      </c>
      <c r="O15" s="50">
        <v>0.16</v>
      </c>
      <c r="P15" s="50">
        <v>0.08</v>
      </c>
      <c r="Q15" s="50">
        <v>0</v>
      </c>
      <c r="R15" s="50"/>
      <c r="S15" s="50"/>
      <c r="T15" s="50"/>
      <c r="U15" s="50">
        <v>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6D1F-8FAC-4195-8954-7B611409CD29}">
  <dimension ref="A1:L18"/>
  <sheetViews>
    <sheetView showGridLines="0" workbookViewId="0">
      <selection activeCell="F8" sqref="F8"/>
    </sheetView>
  </sheetViews>
  <sheetFormatPr defaultColWidth="9.109375" defaultRowHeight="10.199999999999999" x14ac:dyDescent="0.2"/>
  <cols>
    <col min="1" max="1" width="31.44140625" style="14" bestFit="1" customWidth="1"/>
    <col min="2" max="2" width="18.44140625" style="14" customWidth="1"/>
    <col min="3" max="12" width="11" style="14" customWidth="1"/>
    <col min="13" max="16384" width="9.109375" style="14"/>
  </cols>
  <sheetData>
    <row r="1" spans="1:12" ht="10.8" thickBot="1" x14ac:dyDescent="0.25">
      <c r="A1" s="73" t="s">
        <v>1004</v>
      </c>
      <c r="B1" s="73" t="s">
        <v>22</v>
      </c>
      <c r="C1" s="73" t="s">
        <v>1003</v>
      </c>
      <c r="D1" s="73" t="s">
        <v>1002</v>
      </c>
      <c r="E1" s="73" t="s">
        <v>31</v>
      </c>
      <c r="F1" s="73" t="s">
        <v>1001</v>
      </c>
      <c r="G1" s="73" t="s">
        <v>1000</v>
      </c>
      <c r="H1" s="73" t="s">
        <v>503</v>
      </c>
      <c r="I1" s="73" t="s">
        <v>33</v>
      </c>
      <c r="J1" s="73" t="s">
        <v>502</v>
      </c>
      <c r="K1" s="73" t="s">
        <v>501</v>
      </c>
      <c r="L1" s="73" t="s">
        <v>500</v>
      </c>
    </row>
    <row r="2" spans="1:12" x14ac:dyDescent="0.2">
      <c r="A2" s="69" t="s">
        <v>999</v>
      </c>
      <c r="B2" s="75">
        <f t="shared" ref="B2:L2" si="0">12*B3*(1-$B$10/IF($B$8&lt;&gt;0,$B$8,1))/IF(((((1+$B$6)^(1/IF($B$9&lt;&gt;0,$B$9,1))*$B$6)/(IF((1+$B$6)^(1/IF($B$9&lt;&gt;0,$B$9,1))-1&lt;&gt;0,(1+$B$6)^(1/IF($B$9&lt;&gt;0,$B$9,1))-1,1))))&lt;&gt;0,(((1+$B$6)^(1/IF($B$9&lt;&gt;0,$B$9,1))*$B$6)/(IF((1+$B$6)^(1/IF($B$9&lt;&gt;0,$B$9,1))-1&lt;&gt;0,(1+$B$6)^(1/IF($B$9&lt;&gt;0,$B$9,1))-1,1))),1)</f>
        <v>292.37871523807263</v>
      </c>
      <c r="C2" s="75">
        <f t="shared" si="0"/>
        <v>274.84147271207763</v>
      </c>
      <c r="D2" s="75">
        <f t="shared" si="0"/>
        <v>268.8130455937669</v>
      </c>
      <c r="E2" s="75">
        <f t="shared" si="0"/>
        <v>292.37871523807263</v>
      </c>
      <c r="F2" s="75">
        <f t="shared" si="0"/>
        <v>160.84939629311026</v>
      </c>
      <c r="G2" s="75">
        <f t="shared" si="0"/>
        <v>175.37242525994989</v>
      </c>
      <c r="H2" s="75">
        <f t="shared" si="0"/>
        <v>0</v>
      </c>
      <c r="I2" s="75">
        <f t="shared" si="0"/>
        <v>357.33415409729213</v>
      </c>
      <c r="J2" s="75">
        <f t="shared" si="0"/>
        <v>0</v>
      </c>
      <c r="K2" s="75">
        <f t="shared" si="0"/>
        <v>0</v>
      </c>
      <c r="L2" s="75">
        <f t="shared" si="0"/>
        <v>0</v>
      </c>
    </row>
    <row r="3" spans="1:12" ht="10.8" thickBot="1" x14ac:dyDescent="0.25">
      <c r="A3" s="67" t="s">
        <v>998</v>
      </c>
      <c r="B3" s="74">
        <v>10.67</v>
      </c>
      <c r="C3" s="74">
        <v>10.029999999999999</v>
      </c>
      <c r="D3" s="74">
        <v>9.81</v>
      </c>
      <c r="E3" s="74">
        <v>10.67</v>
      </c>
      <c r="F3" s="74">
        <v>5.87</v>
      </c>
      <c r="G3" s="74">
        <v>6.4</v>
      </c>
      <c r="H3" s="74">
        <v>0</v>
      </c>
      <c r="I3" s="74">
        <f>'TUSD BE'!$AC$6</f>
        <v>13.040468493452156</v>
      </c>
      <c r="J3" s="74">
        <v>0</v>
      </c>
      <c r="K3" s="74">
        <v>0</v>
      </c>
      <c r="L3" s="74">
        <v>0</v>
      </c>
    </row>
    <row r="5" spans="1:12" ht="10.8" thickBot="1" x14ac:dyDescent="0.25">
      <c r="A5" s="73" t="s">
        <v>997</v>
      </c>
      <c r="B5" s="73" t="s">
        <v>996</v>
      </c>
    </row>
    <row r="6" spans="1:12" x14ac:dyDescent="0.2">
      <c r="A6" s="69" t="s">
        <v>995</v>
      </c>
      <c r="B6" s="72">
        <v>9.9699999999999997E-2</v>
      </c>
    </row>
    <row r="7" spans="1:12" x14ac:dyDescent="0.2">
      <c r="A7" s="71" t="s">
        <v>994</v>
      </c>
      <c r="B7" s="70">
        <v>0</v>
      </c>
    </row>
    <row r="8" spans="1:12" x14ac:dyDescent="0.2">
      <c r="A8" s="69" t="s">
        <v>993</v>
      </c>
      <c r="B8" s="68">
        <v>2283000</v>
      </c>
    </row>
    <row r="9" spans="1:12" x14ac:dyDescent="0.2">
      <c r="A9" s="71" t="s">
        <v>992</v>
      </c>
      <c r="B9" s="70">
        <v>0.04</v>
      </c>
    </row>
    <row r="10" spans="1:12" x14ac:dyDescent="0.2">
      <c r="A10" s="69" t="s">
        <v>991</v>
      </c>
      <c r="B10" s="68">
        <v>1709994</v>
      </c>
    </row>
    <row r="11" spans="1:12" ht="10.8" thickBot="1" x14ac:dyDescent="0.25">
      <c r="A11" s="67" t="s">
        <v>990</v>
      </c>
      <c r="B11" s="66">
        <f>(1+$B$6)^(1/IF($B$9&lt;&gt;0,$B$9,1))*$B$6/IF((1+$B$6)^(1/IF($B$9&lt;&gt;0,$B$9,1))-1&lt;&gt;0,(1+$B$6)^(1/IF($B$9&lt;&gt;0,$B$9,1))-1,1)</f>
        <v>0.10991403975195672</v>
      </c>
    </row>
    <row r="18" spans="2:2" x14ac:dyDescent="0.2">
      <c r="B18" s="6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3AEA-959B-4E85-9D11-B0A97CD87780}">
  <dimension ref="B1:AT49"/>
  <sheetViews>
    <sheetView showGridLines="0" workbookViewId="0">
      <selection activeCell="B4" sqref="B4"/>
    </sheetView>
  </sheetViews>
  <sheetFormatPr defaultRowHeight="14.4" x14ac:dyDescent="0.3"/>
  <cols>
    <col min="2" max="2" width="12.77734375" bestFit="1" customWidth="1"/>
    <col min="3" max="3" width="25.44140625" bestFit="1" customWidth="1"/>
    <col min="4" max="4" width="16.33203125" bestFit="1" customWidth="1"/>
    <col min="5" max="5" width="28.77734375" bestFit="1" customWidth="1"/>
    <col min="6" max="6" width="11.88671875" bestFit="1" customWidth="1"/>
    <col min="7" max="7" width="12.109375" bestFit="1" customWidth="1"/>
    <col min="8" max="8" width="11.109375" bestFit="1" customWidth="1"/>
    <col min="9" max="9" width="13.109375" bestFit="1" customWidth="1"/>
    <col min="10" max="10" width="12.44140625" bestFit="1" customWidth="1"/>
    <col min="11" max="11" width="9.88671875" bestFit="1" customWidth="1"/>
    <col min="12" max="12" width="18.6640625" bestFit="1" customWidth="1"/>
    <col min="13" max="13" width="13.6640625" bestFit="1" customWidth="1"/>
    <col min="14" max="14" width="12.109375" bestFit="1" customWidth="1"/>
    <col min="15" max="15" width="12.44140625" bestFit="1" customWidth="1"/>
    <col min="16" max="17" width="12.109375" bestFit="1" customWidth="1"/>
    <col min="18" max="18" width="16.44140625" bestFit="1" customWidth="1"/>
    <col min="19" max="19" width="10.44140625" bestFit="1" customWidth="1"/>
    <col min="20" max="20" width="11" bestFit="1" customWidth="1"/>
    <col min="21" max="21" width="10.77734375" bestFit="1" customWidth="1"/>
    <col min="22" max="22" width="12" bestFit="1" customWidth="1"/>
    <col min="23" max="23" width="12.21875" bestFit="1" customWidth="1"/>
    <col min="24" max="24" width="13.44140625" bestFit="1" customWidth="1"/>
    <col min="25" max="25" width="11" bestFit="1" customWidth="1"/>
    <col min="26" max="26" width="13.6640625" bestFit="1" customWidth="1"/>
    <col min="27" max="27" width="12.33203125" bestFit="1" customWidth="1"/>
    <col min="28" max="28" width="15.44140625" bestFit="1" customWidth="1"/>
    <col min="29" max="29" width="24.33203125" bestFit="1" customWidth="1"/>
    <col min="30" max="30" width="13.88671875" bestFit="1" customWidth="1"/>
    <col min="31" max="31" width="12" bestFit="1" customWidth="1"/>
    <col min="32" max="32" width="17.109375" bestFit="1" customWidth="1"/>
    <col min="33" max="33" width="12.21875" bestFit="1" customWidth="1"/>
    <col min="34" max="34" width="10.44140625" bestFit="1" customWidth="1"/>
    <col min="35" max="35" width="16.109375" bestFit="1" customWidth="1"/>
    <col min="36" max="36" width="14.44140625" bestFit="1" customWidth="1"/>
    <col min="37" max="37" width="9.5546875" bestFit="1" customWidth="1"/>
    <col min="38" max="38" width="12.44140625" bestFit="1" customWidth="1"/>
    <col min="39" max="39" width="11.88671875" bestFit="1" customWidth="1"/>
    <col min="40" max="40" width="13.6640625" bestFit="1" customWidth="1"/>
    <col min="41" max="41" width="24.5546875" bestFit="1" customWidth="1"/>
    <col min="42" max="42" width="17.44140625" bestFit="1" customWidth="1"/>
    <col min="43" max="43" width="13.21875" bestFit="1" customWidth="1"/>
    <col min="44" max="44" width="12.77734375" bestFit="1" customWidth="1"/>
    <col min="45" max="45" width="21.6640625" bestFit="1" customWidth="1"/>
    <col min="46" max="46" width="12.21875" bestFit="1" customWidth="1"/>
  </cols>
  <sheetData>
    <row r="1" spans="2:46" ht="12" customHeight="1" x14ac:dyDescent="0.3">
      <c r="L1" s="119" t="s">
        <v>1044</v>
      </c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</row>
    <row r="2" spans="2:46" ht="12" customHeight="1" x14ac:dyDescent="0.3">
      <c r="L2" s="120" t="s">
        <v>368</v>
      </c>
      <c r="M2" s="120"/>
      <c r="N2" s="120"/>
      <c r="O2" s="120"/>
      <c r="P2" s="120"/>
      <c r="Q2" s="120"/>
      <c r="R2" s="120"/>
      <c r="S2" s="121"/>
      <c r="T2" s="120" t="s">
        <v>377</v>
      </c>
      <c r="U2" s="120"/>
      <c r="V2" s="120"/>
      <c r="W2" s="120"/>
      <c r="X2" s="120"/>
      <c r="Y2" s="120"/>
      <c r="Z2" s="121"/>
      <c r="AA2" s="122" t="s">
        <v>385</v>
      </c>
      <c r="AB2" s="120" t="s">
        <v>25</v>
      </c>
      <c r="AC2" s="120"/>
      <c r="AD2" s="121"/>
      <c r="AE2" s="120" t="s">
        <v>1043</v>
      </c>
      <c r="AF2" s="120"/>
      <c r="AG2" s="120"/>
      <c r="AH2" s="121"/>
      <c r="AI2" s="120" t="s">
        <v>368</v>
      </c>
      <c r="AJ2" s="120"/>
      <c r="AK2" s="120"/>
      <c r="AL2" s="120"/>
      <c r="AM2" s="121"/>
      <c r="AN2" s="122" t="s">
        <v>399</v>
      </c>
      <c r="AO2" s="120" t="s">
        <v>377</v>
      </c>
      <c r="AP2" s="120"/>
      <c r="AQ2" s="120"/>
      <c r="AR2" s="120"/>
      <c r="AS2" s="121"/>
      <c r="AT2" s="123" t="s">
        <v>1043</v>
      </c>
    </row>
    <row r="3" spans="2:46" ht="12" customHeight="1" x14ac:dyDescent="0.3">
      <c r="B3" s="110" t="s">
        <v>58</v>
      </c>
      <c r="C3" s="111" t="s">
        <v>59</v>
      </c>
      <c r="D3" s="111" t="s">
        <v>60</v>
      </c>
      <c r="E3" s="111" t="s">
        <v>61</v>
      </c>
      <c r="F3" s="111" t="s">
        <v>62</v>
      </c>
      <c r="G3" s="111" t="s">
        <v>64</v>
      </c>
      <c r="H3" s="111" t="s">
        <v>65</v>
      </c>
      <c r="I3" s="111" t="s">
        <v>646</v>
      </c>
      <c r="J3" s="111" t="s">
        <v>1005</v>
      </c>
      <c r="K3" s="111" t="s">
        <v>1006</v>
      </c>
      <c r="L3" s="111" t="s">
        <v>1007</v>
      </c>
      <c r="M3" s="111" t="s">
        <v>1008</v>
      </c>
      <c r="N3" s="111" t="s">
        <v>1009</v>
      </c>
      <c r="O3" s="111" t="s">
        <v>1010</v>
      </c>
      <c r="P3" s="111" t="s">
        <v>1011</v>
      </c>
      <c r="Q3" s="111" t="s">
        <v>1012</v>
      </c>
      <c r="R3" s="111" t="s">
        <v>1013</v>
      </c>
      <c r="S3" s="111" t="s">
        <v>1014</v>
      </c>
      <c r="T3" s="111" t="s">
        <v>1015</v>
      </c>
      <c r="U3" s="111" t="s">
        <v>1016</v>
      </c>
      <c r="V3" s="111" t="s">
        <v>1017</v>
      </c>
      <c r="W3" s="111" t="s">
        <v>1018</v>
      </c>
      <c r="X3" s="111" t="s">
        <v>1019</v>
      </c>
      <c r="Y3" s="111" t="s">
        <v>1020</v>
      </c>
      <c r="Z3" s="111" t="s">
        <v>1021</v>
      </c>
      <c r="AA3" s="111" t="s">
        <v>1022</v>
      </c>
      <c r="AB3" s="111" t="s">
        <v>1023</v>
      </c>
      <c r="AC3" s="111" t="s">
        <v>1024</v>
      </c>
      <c r="AD3" s="111" t="s">
        <v>1025</v>
      </c>
      <c r="AE3" s="111" t="s">
        <v>1026</v>
      </c>
      <c r="AF3" s="111" t="s">
        <v>1027</v>
      </c>
      <c r="AG3" s="111" t="s">
        <v>1028</v>
      </c>
      <c r="AH3" s="111" t="s">
        <v>1029</v>
      </c>
      <c r="AI3" s="111" t="s">
        <v>1030</v>
      </c>
      <c r="AJ3" s="111" t="s">
        <v>1031</v>
      </c>
      <c r="AK3" s="111" t="s">
        <v>1032</v>
      </c>
      <c r="AL3" s="111" t="s">
        <v>1033</v>
      </c>
      <c r="AM3" s="111" t="s">
        <v>1034</v>
      </c>
      <c r="AN3" s="111" t="s">
        <v>1035</v>
      </c>
      <c r="AO3" s="111" t="s">
        <v>1036</v>
      </c>
      <c r="AP3" s="111" t="s">
        <v>1037</v>
      </c>
      <c r="AQ3" s="111" t="s">
        <v>1038</v>
      </c>
      <c r="AR3" s="111" t="s">
        <v>1039</v>
      </c>
      <c r="AS3" s="111" t="s">
        <v>1040</v>
      </c>
      <c r="AT3" s="112" t="s">
        <v>1041</v>
      </c>
    </row>
    <row r="4" spans="2:46" ht="12" customHeight="1" x14ac:dyDescent="0.3">
      <c r="B4" s="113" t="s">
        <v>33</v>
      </c>
      <c r="C4" s="114" t="s">
        <v>34</v>
      </c>
      <c r="D4" s="114" t="s">
        <v>25</v>
      </c>
      <c r="E4" s="114" t="s">
        <v>25</v>
      </c>
      <c r="F4" s="114" t="s">
        <v>75</v>
      </c>
      <c r="G4" s="114" t="s">
        <v>35</v>
      </c>
      <c r="H4" s="114" t="s">
        <v>68</v>
      </c>
      <c r="I4" s="114" t="s">
        <v>25</v>
      </c>
      <c r="J4" s="114">
        <v>7.58</v>
      </c>
      <c r="K4" s="114">
        <v>0</v>
      </c>
      <c r="L4" s="114">
        <v>0</v>
      </c>
      <c r="M4" s="114">
        <v>0.58074182308024902</v>
      </c>
      <c r="N4" s="114">
        <v>0</v>
      </c>
      <c r="O4" s="114">
        <v>0</v>
      </c>
      <c r="P4" s="114">
        <v>0</v>
      </c>
      <c r="Q4" s="114">
        <v>0</v>
      </c>
      <c r="R4" s="114">
        <v>0</v>
      </c>
      <c r="S4" s="114">
        <v>0</v>
      </c>
      <c r="T4" s="114">
        <v>0</v>
      </c>
      <c r="U4" s="114">
        <v>0</v>
      </c>
      <c r="V4" s="114">
        <v>0</v>
      </c>
      <c r="W4" s="114">
        <v>0</v>
      </c>
      <c r="X4" s="114">
        <v>0</v>
      </c>
      <c r="Y4" s="114">
        <v>0</v>
      </c>
      <c r="Z4" s="114">
        <v>0</v>
      </c>
      <c r="AA4" s="114">
        <v>0</v>
      </c>
      <c r="AB4" s="114">
        <v>0</v>
      </c>
      <c r="AC4" s="114">
        <v>0</v>
      </c>
      <c r="AD4" s="114">
        <v>0</v>
      </c>
      <c r="AE4" s="114">
        <v>7.0006537693757203</v>
      </c>
      <c r="AF4" s="114">
        <v>0</v>
      </c>
      <c r="AG4" s="114">
        <v>0</v>
      </c>
      <c r="AH4" s="114">
        <v>0</v>
      </c>
      <c r="AI4" s="114">
        <v>0</v>
      </c>
      <c r="AJ4" s="114">
        <v>0</v>
      </c>
      <c r="AK4" s="114">
        <v>0</v>
      </c>
      <c r="AL4" s="114">
        <v>0</v>
      </c>
      <c r="AM4" s="114">
        <v>0</v>
      </c>
      <c r="AN4" s="114">
        <v>0</v>
      </c>
      <c r="AO4" s="114">
        <v>0</v>
      </c>
      <c r="AP4" s="114">
        <v>0</v>
      </c>
      <c r="AQ4" s="114">
        <v>0</v>
      </c>
      <c r="AR4" s="114">
        <v>0</v>
      </c>
      <c r="AS4" s="114">
        <v>0</v>
      </c>
      <c r="AT4" s="115">
        <v>0</v>
      </c>
    </row>
    <row r="5" spans="2:46" ht="12" customHeight="1" x14ac:dyDescent="0.3">
      <c r="B5" s="113" t="s">
        <v>33</v>
      </c>
      <c r="C5" s="114" t="s">
        <v>34</v>
      </c>
      <c r="D5" s="114" t="s">
        <v>25</v>
      </c>
      <c r="E5" s="114" t="s">
        <v>25</v>
      </c>
      <c r="F5" s="114" t="s">
        <v>75</v>
      </c>
      <c r="G5" s="114" t="s">
        <v>35</v>
      </c>
      <c r="H5" s="114" t="s">
        <v>71</v>
      </c>
      <c r="I5" s="114" t="s">
        <v>25</v>
      </c>
      <c r="J5" s="114">
        <v>53.62</v>
      </c>
      <c r="K5" s="114">
        <v>0</v>
      </c>
      <c r="L5" s="114">
        <v>0</v>
      </c>
      <c r="M5" s="114">
        <v>0</v>
      </c>
      <c r="N5" s="114">
        <v>0</v>
      </c>
      <c r="O5" s="114">
        <v>0</v>
      </c>
      <c r="P5" s="114">
        <v>0</v>
      </c>
      <c r="Q5" s="114">
        <v>0</v>
      </c>
      <c r="R5" s="114">
        <v>0</v>
      </c>
      <c r="S5" s="114">
        <v>0</v>
      </c>
      <c r="T5" s="114">
        <v>0</v>
      </c>
      <c r="U5" s="114">
        <v>0</v>
      </c>
      <c r="V5" s="114">
        <v>0</v>
      </c>
      <c r="W5" s="114">
        <v>0</v>
      </c>
      <c r="X5" s="114">
        <v>31.076431728972299</v>
      </c>
      <c r="Y5" s="114">
        <v>0</v>
      </c>
      <c r="Z5" s="114">
        <v>0</v>
      </c>
      <c r="AA5" s="114">
        <v>22.540910564743101</v>
      </c>
      <c r="AB5" s="114">
        <v>0</v>
      </c>
      <c r="AC5" s="114">
        <v>0</v>
      </c>
      <c r="AD5" s="114">
        <v>0</v>
      </c>
      <c r="AE5" s="114">
        <v>0</v>
      </c>
      <c r="AF5" s="114">
        <v>0</v>
      </c>
      <c r="AG5" s="114">
        <v>0</v>
      </c>
      <c r="AH5" s="114">
        <v>0</v>
      </c>
      <c r="AI5" s="114">
        <v>0</v>
      </c>
      <c r="AJ5" s="114">
        <v>0</v>
      </c>
      <c r="AK5" s="114">
        <v>0</v>
      </c>
      <c r="AL5" s="114">
        <v>0</v>
      </c>
      <c r="AM5" s="114">
        <v>0</v>
      </c>
      <c r="AN5" s="114">
        <v>0</v>
      </c>
      <c r="AO5" s="114">
        <v>0</v>
      </c>
      <c r="AP5" s="114">
        <v>0</v>
      </c>
      <c r="AQ5" s="114">
        <v>0</v>
      </c>
      <c r="AR5" s="114">
        <v>0</v>
      </c>
      <c r="AS5" s="114">
        <v>0</v>
      </c>
      <c r="AT5" s="115">
        <v>0</v>
      </c>
    </row>
    <row r="6" spans="2:46" ht="12" customHeight="1" x14ac:dyDescent="0.3">
      <c r="B6" s="113" t="s">
        <v>33</v>
      </c>
      <c r="C6" s="114" t="s">
        <v>34</v>
      </c>
      <c r="D6" s="114" t="s">
        <v>25</v>
      </c>
      <c r="E6" s="114" t="s">
        <v>25</v>
      </c>
      <c r="F6" s="114" t="s">
        <v>75</v>
      </c>
      <c r="G6" s="114" t="s">
        <v>36</v>
      </c>
      <c r="H6" s="114" t="s">
        <v>68</v>
      </c>
      <c r="I6" s="114" t="s">
        <v>25</v>
      </c>
      <c r="J6" s="114">
        <v>7.58</v>
      </c>
      <c r="K6" s="114">
        <v>0</v>
      </c>
      <c r="L6" s="114">
        <v>0</v>
      </c>
      <c r="M6" s="114">
        <v>0.58074182308024902</v>
      </c>
      <c r="N6" s="114">
        <v>0</v>
      </c>
      <c r="O6" s="114">
        <v>0</v>
      </c>
      <c r="P6" s="114">
        <v>0</v>
      </c>
      <c r="Q6" s="114">
        <v>0</v>
      </c>
      <c r="R6" s="114">
        <v>0</v>
      </c>
      <c r="S6" s="114">
        <v>0</v>
      </c>
      <c r="T6" s="114">
        <v>0</v>
      </c>
      <c r="U6" s="114">
        <v>0</v>
      </c>
      <c r="V6" s="114">
        <v>0</v>
      </c>
      <c r="W6" s="114">
        <v>0</v>
      </c>
      <c r="X6" s="114">
        <v>0</v>
      </c>
      <c r="Y6" s="114">
        <v>0</v>
      </c>
      <c r="Z6" s="114">
        <v>0</v>
      </c>
      <c r="AA6" s="114">
        <v>0</v>
      </c>
      <c r="AB6" s="114">
        <v>0</v>
      </c>
      <c r="AC6" s="114">
        <v>0</v>
      </c>
      <c r="AD6" s="114">
        <v>0</v>
      </c>
      <c r="AE6" s="114">
        <v>7.0006537693757203</v>
      </c>
      <c r="AF6" s="114">
        <v>0</v>
      </c>
      <c r="AG6" s="114">
        <v>0</v>
      </c>
      <c r="AH6" s="114">
        <v>0</v>
      </c>
      <c r="AI6" s="114">
        <v>0</v>
      </c>
      <c r="AJ6" s="114">
        <v>0</v>
      </c>
      <c r="AK6" s="114">
        <v>0</v>
      </c>
      <c r="AL6" s="114">
        <v>0</v>
      </c>
      <c r="AM6" s="114">
        <v>0</v>
      </c>
      <c r="AN6" s="114">
        <v>0</v>
      </c>
      <c r="AO6" s="114">
        <v>0</v>
      </c>
      <c r="AP6" s="114">
        <v>0</v>
      </c>
      <c r="AQ6" s="114">
        <v>0</v>
      </c>
      <c r="AR6" s="114">
        <v>0</v>
      </c>
      <c r="AS6" s="114">
        <v>0</v>
      </c>
      <c r="AT6" s="115">
        <v>0</v>
      </c>
    </row>
    <row r="7" spans="2:46" ht="12" customHeight="1" x14ac:dyDescent="0.3">
      <c r="B7" s="113" t="s">
        <v>33</v>
      </c>
      <c r="C7" s="114" t="s">
        <v>34</v>
      </c>
      <c r="D7" s="114" t="s">
        <v>25</v>
      </c>
      <c r="E7" s="114" t="s">
        <v>25</v>
      </c>
      <c r="F7" s="114" t="s">
        <v>75</v>
      </c>
      <c r="G7" s="114" t="s">
        <v>36</v>
      </c>
      <c r="H7" s="114" t="s">
        <v>71</v>
      </c>
      <c r="I7" s="114" t="s">
        <v>25</v>
      </c>
      <c r="J7" s="114">
        <v>18.86</v>
      </c>
      <c r="K7" s="114">
        <v>0</v>
      </c>
      <c r="L7" s="114">
        <v>0</v>
      </c>
      <c r="M7" s="114">
        <v>0</v>
      </c>
      <c r="N7" s="114">
        <v>0</v>
      </c>
      <c r="O7" s="114">
        <v>0</v>
      </c>
      <c r="P7" s="114">
        <v>0</v>
      </c>
      <c r="Q7" s="114">
        <v>0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12.5607434427636</v>
      </c>
      <c r="Y7" s="114">
        <v>0</v>
      </c>
      <c r="Z7" s="114">
        <v>0</v>
      </c>
      <c r="AA7" s="114">
        <v>6.2987284172720299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v>0</v>
      </c>
      <c r="AM7" s="114">
        <v>0</v>
      </c>
      <c r="AN7" s="114">
        <v>0</v>
      </c>
      <c r="AO7" s="114">
        <v>0</v>
      </c>
      <c r="AP7" s="114">
        <v>0</v>
      </c>
      <c r="AQ7" s="114">
        <v>0</v>
      </c>
      <c r="AR7" s="114">
        <v>0</v>
      </c>
      <c r="AS7" s="114">
        <v>0</v>
      </c>
      <c r="AT7" s="115">
        <v>0</v>
      </c>
    </row>
    <row r="8" spans="2:46" ht="12" customHeight="1" x14ac:dyDescent="0.3">
      <c r="B8" s="113" t="s">
        <v>33</v>
      </c>
      <c r="C8" s="114" t="s">
        <v>34</v>
      </c>
      <c r="D8" s="114" t="s">
        <v>25</v>
      </c>
      <c r="E8" s="114" t="s">
        <v>25</v>
      </c>
      <c r="F8" s="114" t="s">
        <v>25</v>
      </c>
      <c r="G8" s="114" t="s">
        <v>35</v>
      </c>
      <c r="H8" s="114" t="s">
        <v>68</v>
      </c>
      <c r="I8" s="114" t="s">
        <v>25</v>
      </c>
      <c r="J8" s="114">
        <v>91.43</v>
      </c>
      <c r="K8" s="114">
        <v>221.79</v>
      </c>
      <c r="L8" s="114">
        <v>0</v>
      </c>
      <c r="M8" s="114">
        <v>0.58074182308024902</v>
      </c>
      <c r="N8" s="114">
        <v>0</v>
      </c>
      <c r="O8" s="114">
        <v>0</v>
      </c>
      <c r="P8" s="114">
        <v>0</v>
      </c>
      <c r="Q8" s="114">
        <v>70.597910478024502</v>
      </c>
      <c r="R8" s="114">
        <v>13.250155086494001</v>
      </c>
      <c r="S8" s="114">
        <v>0</v>
      </c>
      <c r="T8" s="114">
        <v>0</v>
      </c>
      <c r="U8" s="114">
        <v>0</v>
      </c>
      <c r="V8" s="114">
        <v>0</v>
      </c>
      <c r="W8" s="114">
        <v>0</v>
      </c>
      <c r="X8" s="114">
        <v>0</v>
      </c>
      <c r="Y8" s="114">
        <v>0</v>
      </c>
      <c r="Z8" s="114">
        <v>0</v>
      </c>
      <c r="AA8" s="114">
        <v>0</v>
      </c>
      <c r="AB8" s="114">
        <v>0</v>
      </c>
      <c r="AC8" s="114">
        <v>0</v>
      </c>
      <c r="AD8" s="114">
        <v>0</v>
      </c>
      <c r="AE8" s="114">
        <v>7.0006537693757203</v>
      </c>
      <c r="AF8" s="114">
        <v>0</v>
      </c>
      <c r="AG8" s="114">
        <v>0</v>
      </c>
      <c r="AH8" s="114">
        <v>0</v>
      </c>
      <c r="AI8" s="114">
        <v>0</v>
      </c>
      <c r="AJ8" s="114">
        <v>0</v>
      </c>
      <c r="AK8" s="114">
        <v>0</v>
      </c>
      <c r="AL8" s="114">
        <v>15.9995962138726</v>
      </c>
      <c r="AM8" s="114">
        <v>0</v>
      </c>
      <c r="AN8" s="114">
        <v>205.79250926283001</v>
      </c>
      <c r="AO8" s="114">
        <v>0</v>
      </c>
      <c r="AP8" s="114">
        <v>0</v>
      </c>
      <c r="AQ8" s="114">
        <v>0</v>
      </c>
      <c r="AR8" s="114">
        <v>0</v>
      </c>
      <c r="AS8" s="114">
        <v>0</v>
      </c>
      <c r="AT8" s="115">
        <v>0</v>
      </c>
    </row>
    <row r="9" spans="2:46" ht="12" customHeight="1" x14ac:dyDescent="0.3">
      <c r="B9" s="113" t="s">
        <v>33</v>
      </c>
      <c r="C9" s="114" t="s">
        <v>34</v>
      </c>
      <c r="D9" s="114" t="s">
        <v>25</v>
      </c>
      <c r="E9" s="114" t="s">
        <v>25</v>
      </c>
      <c r="F9" s="114" t="s">
        <v>25</v>
      </c>
      <c r="G9" s="114" t="s">
        <v>35</v>
      </c>
      <c r="H9" s="114" t="s">
        <v>71</v>
      </c>
      <c r="I9" s="114" t="s">
        <v>25</v>
      </c>
      <c r="J9" s="114">
        <v>53.62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v>0</v>
      </c>
      <c r="X9" s="114">
        <v>31.076431728972299</v>
      </c>
      <c r="Y9" s="114">
        <v>0</v>
      </c>
      <c r="Z9" s="114">
        <v>0</v>
      </c>
      <c r="AA9" s="114">
        <v>22.540910564743101</v>
      </c>
      <c r="AB9" s="114">
        <v>0</v>
      </c>
      <c r="AC9" s="114">
        <v>0</v>
      </c>
      <c r="AD9" s="114">
        <v>0</v>
      </c>
      <c r="AE9" s="114">
        <v>0</v>
      </c>
      <c r="AF9" s="114">
        <v>0</v>
      </c>
      <c r="AG9" s="114">
        <v>0</v>
      </c>
      <c r="AH9" s="114">
        <v>0</v>
      </c>
      <c r="AI9" s="114">
        <v>0</v>
      </c>
      <c r="AJ9" s="114">
        <v>0</v>
      </c>
      <c r="AK9" s="114">
        <v>0</v>
      </c>
      <c r="AL9" s="114">
        <v>0</v>
      </c>
      <c r="AM9" s="114">
        <v>0</v>
      </c>
      <c r="AN9" s="114">
        <v>0</v>
      </c>
      <c r="AO9" s="114">
        <v>0</v>
      </c>
      <c r="AP9" s="114">
        <v>0</v>
      </c>
      <c r="AQ9" s="114">
        <v>0</v>
      </c>
      <c r="AR9" s="114">
        <v>0</v>
      </c>
      <c r="AS9" s="114">
        <v>0</v>
      </c>
      <c r="AT9" s="115">
        <v>0</v>
      </c>
    </row>
    <row r="10" spans="2:46" ht="12" customHeight="1" x14ac:dyDescent="0.3">
      <c r="B10" s="113" t="s">
        <v>33</v>
      </c>
      <c r="C10" s="114" t="s">
        <v>34</v>
      </c>
      <c r="D10" s="114" t="s">
        <v>25</v>
      </c>
      <c r="E10" s="114" t="s">
        <v>25</v>
      </c>
      <c r="F10" s="114" t="s">
        <v>25</v>
      </c>
      <c r="G10" s="114" t="s">
        <v>36</v>
      </c>
      <c r="H10" s="114" t="s">
        <v>68</v>
      </c>
      <c r="I10" s="114" t="s">
        <v>25</v>
      </c>
      <c r="J10" s="114">
        <v>91.43</v>
      </c>
      <c r="K10" s="114">
        <v>221.79</v>
      </c>
      <c r="L10" s="114">
        <v>0</v>
      </c>
      <c r="M10" s="114">
        <v>0.58074182308024902</v>
      </c>
      <c r="N10" s="114">
        <v>0</v>
      </c>
      <c r="O10" s="114">
        <v>0</v>
      </c>
      <c r="P10" s="114">
        <v>0</v>
      </c>
      <c r="Q10" s="114">
        <v>70.597910478024502</v>
      </c>
      <c r="R10" s="114">
        <v>13.250155086494001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4">
        <v>0</v>
      </c>
      <c r="AE10" s="114">
        <v>7.0006537693757203</v>
      </c>
      <c r="AF10" s="114">
        <v>0</v>
      </c>
      <c r="AG10" s="114">
        <v>0</v>
      </c>
      <c r="AH10" s="114">
        <v>0</v>
      </c>
      <c r="AI10" s="114">
        <v>0</v>
      </c>
      <c r="AJ10" s="114">
        <v>0</v>
      </c>
      <c r="AK10" s="114">
        <v>0</v>
      </c>
      <c r="AL10" s="114">
        <v>15.9995962138726</v>
      </c>
      <c r="AM10" s="114">
        <v>0</v>
      </c>
      <c r="AN10" s="114">
        <v>205.79250926283001</v>
      </c>
      <c r="AO10" s="114">
        <v>0</v>
      </c>
      <c r="AP10" s="114">
        <v>0</v>
      </c>
      <c r="AQ10" s="114">
        <v>0</v>
      </c>
      <c r="AR10" s="114">
        <v>0</v>
      </c>
      <c r="AS10" s="114">
        <v>0</v>
      </c>
      <c r="AT10" s="115">
        <v>0</v>
      </c>
    </row>
    <row r="11" spans="2:46" ht="12" customHeight="1" x14ac:dyDescent="0.3">
      <c r="B11" s="113" t="s">
        <v>33</v>
      </c>
      <c r="C11" s="114" t="s">
        <v>34</v>
      </c>
      <c r="D11" s="114" t="s">
        <v>25</v>
      </c>
      <c r="E11" s="114" t="s">
        <v>25</v>
      </c>
      <c r="F11" s="114" t="s">
        <v>25</v>
      </c>
      <c r="G11" s="114" t="s">
        <v>36</v>
      </c>
      <c r="H11" s="114" t="s">
        <v>71</v>
      </c>
      <c r="I11" s="114" t="s">
        <v>25</v>
      </c>
      <c r="J11" s="114">
        <v>18.86</v>
      </c>
      <c r="K11" s="114">
        <v>0</v>
      </c>
      <c r="L11" s="114">
        <v>0</v>
      </c>
      <c r="M11" s="114">
        <v>0</v>
      </c>
      <c r="N11" s="114">
        <v>0</v>
      </c>
      <c r="O11" s="114">
        <v>0</v>
      </c>
      <c r="P11" s="114">
        <v>0</v>
      </c>
      <c r="Q11" s="114">
        <v>0</v>
      </c>
      <c r="R11" s="114">
        <v>0</v>
      </c>
      <c r="S11" s="114">
        <v>0</v>
      </c>
      <c r="T11" s="114">
        <v>0</v>
      </c>
      <c r="U11" s="114">
        <v>0</v>
      </c>
      <c r="V11" s="114">
        <v>0</v>
      </c>
      <c r="W11" s="114">
        <v>0</v>
      </c>
      <c r="X11" s="114">
        <v>12.5607434427636</v>
      </c>
      <c r="Y11" s="114">
        <v>0</v>
      </c>
      <c r="Z11" s="114">
        <v>0</v>
      </c>
      <c r="AA11" s="114">
        <v>6.2987284172720299</v>
      </c>
      <c r="AB11" s="114">
        <v>0</v>
      </c>
      <c r="AC11" s="114">
        <v>0</v>
      </c>
      <c r="AD11" s="114">
        <v>0</v>
      </c>
      <c r="AE11" s="114">
        <v>0</v>
      </c>
      <c r="AF11" s="114">
        <v>0</v>
      </c>
      <c r="AG11" s="114">
        <v>0</v>
      </c>
      <c r="AH11" s="114">
        <v>0</v>
      </c>
      <c r="AI11" s="114">
        <v>0</v>
      </c>
      <c r="AJ11" s="114">
        <v>0</v>
      </c>
      <c r="AK11" s="114">
        <v>0</v>
      </c>
      <c r="AL11" s="114">
        <v>0</v>
      </c>
      <c r="AM11" s="114">
        <v>0</v>
      </c>
      <c r="AN11" s="114">
        <v>0</v>
      </c>
      <c r="AO11" s="114">
        <v>0</v>
      </c>
      <c r="AP11" s="114">
        <v>0</v>
      </c>
      <c r="AQ11" s="114">
        <v>0</v>
      </c>
      <c r="AR11" s="114">
        <v>0</v>
      </c>
      <c r="AS11" s="114">
        <v>0</v>
      </c>
      <c r="AT11" s="115">
        <v>0</v>
      </c>
    </row>
    <row r="12" spans="2:46" ht="12" customHeight="1" x14ac:dyDescent="0.3">
      <c r="B12" s="113" t="s">
        <v>33</v>
      </c>
      <c r="C12" s="114" t="s">
        <v>76</v>
      </c>
      <c r="D12" s="114" t="s">
        <v>25</v>
      </c>
      <c r="E12" s="114" t="s">
        <v>25</v>
      </c>
      <c r="F12" s="114" t="s">
        <v>25</v>
      </c>
      <c r="G12" s="114" t="s">
        <v>25</v>
      </c>
      <c r="H12" s="114" t="s">
        <v>71</v>
      </c>
      <c r="I12" s="114" t="s">
        <v>25</v>
      </c>
      <c r="J12" s="114">
        <v>2.86</v>
      </c>
      <c r="K12" s="114">
        <v>0</v>
      </c>
      <c r="L12" s="114">
        <v>0</v>
      </c>
      <c r="M12" s="114">
        <v>9.4378015861128692E-3</v>
      </c>
      <c r="N12" s="114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14">
        <v>0</v>
      </c>
      <c r="U12" s="114">
        <v>0</v>
      </c>
      <c r="V12" s="114">
        <v>0</v>
      </c>
      <c r="W12" s="114">
        <v>0</v>
      </c>
      <c r="X12" s="114">
        <v>0</v>
      </c>
      <c r="Y12" s="114">
        <v>0</v>
      </c>
      <c r="Z12" s="114">
        <v>0</v>
      </c>
      <c r="AA12" s="114">
        <v>2.84950399529431</v>
      </c>
      <c r="AB12" s="114">
        <v>0</v>
      </c>
      <c r="AC12" s="114">
        <v>0</v>
      </c>
      <c r="AD12" s="114">
        <v>0</v>
      </c>
      <c r="AE12" s="114">
        <v>0</v>
      </c>
      <c r="AF12" s="114">
        <v>0</v>
      </c>
      <c r="AG12" s="114">
        <v>0</v>
      </c>
      <c r="AH12" s="114">
        <v>0</v>
      </c>
      <c r="AI12" s="114">
        <v>0</v>
      </c>
      <c r="AJ12" s="114">
        <v>0</v>
      </c>
      <c r="AK12" s="114">
        <v>0</v>
      </c>
      <c r="AL12" s="114">
        <v>0</v>
      </c>
      <c r="AM12" s="114">
        <v>0</v>
      </c>
      <c r="AN12" s="114">
        <v>0</v>
      </c>
      <c r="AO12" s="114">
        <v>0</v>
      </c>
      <c r="AP12" s="114">
        <v>0</v>
      </c>
      <c r="AQ12" s="114">
        <v>0</v>
      </c>
      <c r="AR12" s="114">
        <v>0</v>
      </c>
      <c r="AS12" s="114">
        <v>0</v>
      </c>
      <c r="AT12" s="115">
        <v>0</v>
      </c>
    </row>
    <row r="13" spans="2:46" ht="12" customHeight="1" x14ac:dyDescent="0.3">
      <c r="B13" s="113" t="s">
        <v>33</v>
      </c>
      <c r="C13" s="114" t="s">
        <v>37</v>
      </c>
      <c r="D13" s="114" t="s">
        <v>25</v>
      </c>
      <c r="E13" s="114" t="s">
        <v>25</v>
      </c>
      <c r="F13" s="114" t="s">
        <v>75</v>
      </c>
      <c r="G13" s="114" t="s">
        <v>35</v>
      </c>
      <c r="H13" s="114" t="s">
        <v>68</v>
      </c>
      <c r="I13" s="114" t="s">
        <v>25</v>
      </c>
      <c r="J13" s="114">
        <v>1297.3800000000001</v>
      </c>
      <c r="K13" s="114">
        <v>0</v>
      </c>
      <c r="L13" s="114">
        <v>0</v>
      </c>
      <c r="M13" s="114">
        <v>0.58074182308024902</v>
      </c>
      <c r="N13" s="114">
        <v>0</v>
      </c>
      <c r="O13" s="114">
        <v>0</v>
      </c>
      <c r="P13" s="114">
        <v>0</v>
      </c>
      <c r="Q13" s="114">
        <v>0</v>
      </c>
      <c r="R13" s="114">
        <v>0</v>
      </c>
      <c r="S13" s="114">
        <v>0</v>
      </c>
      <c r="T13" s="114">
        <v>0</v>
      </c>
      <c r="U13" s="114">
        <v>0</v>
      </c>
      <c r="V13" s="114">
        <v>0</v>
      </c>
      <c r="W13" s="114">
        <v>0</v>
      </c>
      <c r="X13" s="114">
        <v>747.68803050994802</v>
      </c>
      <c r="Y13" s="114">
        <v>0</v>
      </c>
      <c r="Z13" s="114">
        <v>0</v>
      </c>
      <c r="AA13" s="114">
        <v>542.10906547578202</v>
      </c>
      <c r="AB13" s="114">
        <v>0</v>
      </c>
      <c r="AC13" s="114">
        <v>0</v>
      </c>
      <c r="AD13" s="114">
        <v>0</v>
      </c>
      <c r="AE13" s="114">
        <v>7.0006537693757203</v>
      </c>
      <c r="AF13" s="114">
        <v>0</v>
      </c>
      <c r="AG13" s="114">
        <v>0</v>
      </c>
      <c r="AH13" s="114">
        <v>0</v>
      </c>
      <c r="AI13" s="114">
        <v>0</v>
      </c>
      <c r="AJ13" s="114">
        <v>0</v>
      </c>
      <c r="AK13" s="114">
        <v>0</v>
      </c>
      <c r="AL13" s="114">
        <v>0</v>
      </c>
      <c r="AM13" s="114">
        <v>0</v>
      </c>
      <c r="AN13" s="114">
        <v>0</v>
      </c>
      <c r="AO13" s="114">
        <v>0</v>
      </c>
      <c r="AP13" s="114">
        <v>0</v>
      </c>
      <c r="AQ13" s="114">
        <v>0</v>
      </c>
      <c r="AR13" s="114">
        <v>0</v>
      </c>
      <c r="AS13" s="114">
        <v>0</v>
      </c>
      <c r="AT13" s="115">
        <v>0</v>
      </c>
    </row>
    <row r="14" spans="2:46" ht="12" customHeight="1" x14ac:dyDescent="0.3">
      <c r="B14" s="113" t="s">
        <v>33</v>
      </c>
      <c r="C14" s="114" t="s">
        <v>37</v>
      </c>
      <c r="D14" s="114" t="s">
        <v>25</v>
      </c>
      <c r="E14" s="114" t="s">
        <v>25</v>
      </c>
      <c r="F14" s="114" t="s">
        <v>75</v>
      </c>
      <c r="G14" s="114" t="s">
        <v>25</v>
      </c>
      <c r="H14" s="114" t="s">
        <v>71</v>
      </c>
      <c r="I14" s="114" t="s">
        <v>25</v>
      </c>
      <c r="J14" s="114">
        <v>18.86</v>
      </c>
      <c r="K14" s="114">
        <v>0</v>
      </c>
      <c r="L14" s="114">
        <v>0</v>
      </c>
      <c r="M14" s="114">
        <v>0</v>
      </c>
      <c r="N14" s="114">
        <v>0</v>
      </c>
      <c r="O14" s="114">
        <v>0</v>
      </c>
      <c r="P14" s="114">
        <v>0</v>
      </c>
      <c r="Q14" s="114">
        <v>0</v>
      </c>
      <c r="R14" s="114">
        <v>0</v>
      </c>
      <c r="S14" s="114">
        <v>0</v>
      </c>
      <c r="T14" s="114">
        <v>0</v>
      </c>
      <c r="U14" s="114">
        <v>0</v>
      </c>
      <c r="V14" s="114">
        <v>0</v>
      </c>
      <c r="W14" s="114">
        <v>0</v>
      </c>
      <c r="X14" s="114">
        <v>12.5607434427636</v>
      </c>
      <c r="Y14" s="114">
        <v>0</v>
      </c>
      <c r="Z14" s="114">
        <v>0</v>
      </c>
      <c r="AA14" s="114">
        <v>6.2987284172720299</v>
      </c>
      <c r="AB14" s="114">
        <v>0</v>
      </c>
      <c r="AC14" s="114">
        <v>0</v>
      </c>
      <c r="AD14" s="114">
        <v>0</v>
      </c>
      <c r="AE14" s="114">
        <v>0</v>
      </c>
      <c r="AF14" s="114">
        <v>0</v>
      </c>
      <c r="AG14" s="114">
        <v>0</v>
      </c>
      <c r="AH14" s="114">
        <v>0</v>
      </c>
      <c r="AI14" s="114">
        <v>0</v>
      </c>
      <c r="AJ14" s="114">
        <v>0</v>
      </c>
      <c r="AK14" s="114">
        <v>0</v>
      </c>
      <c r="AL14" s="114">
        <v>0</v>
      </c>
      <c r="AM14" s="114">
        <v>0</v>
      </c>
      <c r="AN14" s="114">
        <v>0</v>
      </c>
      <c r="AO14" s="114">
        <v>0</v>
      </c>
      <c r="AP14" s="114">
        <v>0</v>
      </c>
      <c r="AQ14" s="114">
        <v>0</v>
      </c>
      <c r="AR14" s="114">
        <v>0</v>
      </c>
      <c r="AS14" s="114">
        <v>0</v>
      </c>
      <c r="AT14" s="115">
        <v>0</v>
      </c>
    </row>
    <row r="15" spans="2:46" ht="12" customHeight="1" x14ac:dyDescent="0.3">
      <c r="B15" s="113" t="s">
        <v>33</v>
      </c>
      <c r="C15" s="114" t="s">
        <v>37</v>
      </c>
      <c r="D15" s="114" t="s">
        <v>25</v>
      </c>
      <c r="E15" s="114" t="s">
        <v>25</v>
      </c>
      <c r="F15" s="114" t="s">
        <v>75</v>
      </c>
      <c r="G15" s="114" t="s">
        <v>36</v>
      </c>
      <c r="H15" s="114" t="s">
        <v>68</v>
      </c>
      <c r="I15" s="114" t="s">
        <v>25</v>
      </c>
      <c r="J15" s="114">
        <v>7.58</v>
      </c>
      <c r="K15" s="114">
        <v>0</v>
      </c>
      <c r="L15" s="114">
        <v>0</v>
      </c>
      <c r="M15" s="114">
        <v>0.58074182308024902</v>
      </c>
      <c r="N15" s="114">
        <v>0</v>
      </c>
      <c r="O15" s="114">
        <v>0</v>
      </c>
      <c r="P15" s="114">
        <v>0</v>
      </c>
      <c r="Q15" s="114">
        <v>0</v>
      </c>
      <c r="R15" s="114">
        <v>0</v>
      </c>
      <c r="S15" s="114">
        <v>0</v>
      </c>
      <c r="T15" s="114">
        <v>0</v>
      </c>
      <c r="U15" s="114">
        <v>0</v>
      </c>
      <c r="V15" s="114">
        <v>0</v>
      </c>
      <c r="W15" s="114">
        <v>0</v>
      </c>
      <c r="X15" s="114">
        <v>0</v>
      </c>
      <c r="Y15" s="114">
        <v>0</v>
      </c>
      <c r="Z15" s="114">
        <v>0</v>
      </c>
      <c r="AA15" s="114">
        <v>0</v>
      </c>
      <c r="AB15" s="114">
        <v>0</v>
      </c>
      <c r="AC15" s="114">
        <v>0</v>
      </c>
      <c r="AD15" s="114">
        <v>0</v>
      </c>
      <c r="AE15" s="114">
        <v>7.0006537693757203</v>
      </c>
      <c r="AF15" s="114">
        <v>0</v>
      </c>
      <c r="AG15" s="114">
        <v>0</v>
      </c>
      <c r="AH15" s="114">
        <v>0</v>
      </c>
      <c r="AI15" s="114">
        <v>0</v>
      </c>
      <c r="AJ15" s="114">
        <v>0</v>
      </c>
      <c r="AK15" s="114">
        <v>0</v>
      </c>
      <c r="AL15" s="114">
        <v>0</v>
      </c>
      <c r="AM15" s="114">
        <v>0</v>
      </c>
      <c r="AN15" s="114">
        <v>0</v>
      </c>
      <c r="AO15" s="114">
        <v>0</v>
      </c>
      <c r="AP15" s="114">
        <v>0</v>
      </c>
      <c r="AQ15" s="114">
        <v>0</v>
      </c>
      <c r="AR15" s="114">
        <v>0</v>
      </c>
      <c r="AS15" s="114">
        <v>0</v>
      </c>
      <c r="AT15" s="115">
        <v>0</v>
      </c>
    </row>
    <row r="16" spans="2:46" ht="12" customHeight="1" x14ac:dyDescent="0.3">
      <c r="B16" s="113" t="s">
        <v>33</v>
      </c>
      <c r="C16" s="114" t="s">
        <v>37</v>
      </c>
      <c r="D16" s="114" t="s">
        <v>25</v>
      </c>
      <c r="E16" s="114" t="s">
        <v>25</v>
      </c>
      <c r="F16" s="114" t="s">
        <v>25</v>
      </c>
      <c r="G16" s="114" t="s">
        <v>35</v>
      </c>
      <c r="H16" s="114" t="s">
        <v>68</v>
      </c>
      <c r="I16" s="114" t="s">
        <v>25</v>
      </c>
      <c r="J16" s="114">
        <v>1381.23</v>
      </c>
      <c r="K16" s="114">
        <v>221.79</v>
      </c>
      <c r="L16" s="114">
        <v>0</v>
      </c>
      <c r="M16" s="114">
        <v>0.58074182308024902</v>
      </c>
      <c r="N16" s="114">
        <v>0</v>
      </c>
      <c r="O16" s="114">
        <v>0</v>
      </c>
      <c r="P16" s="114">
        <v>0</v>
      </c>
      <c r="Q16" s="114">
        <v>70.597910478024502</v>
      </c>
      <c r="R16" s="114">
        <v>13.250155086494001</v>
      </c>
      <c r="S16" s="114">
        <v>0</v>
      </c>
      <c r="T16" s="114">
        <v>0</v>
      </c>
      <c r="U16" s="114">
        <v>0</v>
      </c>
      <c r="V16" s="114">
        <v>0</v>
      </c>
      <c r="W16" s="114">
        <v>0</v>
      </c>
      <c r="X16" s="114">
        <v>747.68803050994802</v>
      </c>
      <c r="Y16" s="114">
        <v>0</v>
      </c>
      <c r="Z16" s="114">
        <v>0</v>
      </c>
      <c r="AA16" s="114">
        <v>542.10906547578202</v>
      </c>
      <c r="AB16" s="114">
        <v>0</v>
      </c>
      <c r="AC16" s="114">
        <v>0</v>
      </c>
      <c r="AD16" s="114">
        <v>0</v>
      </c>
      <c r="AE16" s="114">
        <v>7.0006537693757203</v>
      </c>
      <c r="AF16" s="114">
        <v>0</v>
      </c>
      <c r="AG16" s="114">
        <v>0</v>
      </c>
      <c r="AH16" s="114">
        <v>0</v>
      </c>
      <c r="AI16" s="114">
        <v>0</v>
      </c>
      <c r="AJ16" s="114">
        <v>0</v>
      </c>
      <c r="AK16" s="114">
        <v>0</v>
      </c>
      <c r="AL16" s="114">
        <v>15.9995962138726</v>
      </c>
      <c r="AM16" s="114">
        <v>0</v>
      </c>
      <c r="AN16" s="114">
        <v>205.79250926283001</v>
      </c>
      <c r="AO16" s="114">
        <v>0</v>
      </c>
      <c r="AP16" s="114">
        <v>0</v>
      </c>
      <c r="AQ16" s="114">
        <v>0</v>
      </c>
      <c r="AR16" s="114">
        <v>0</v>
      </c>
      <c r="AS16" s="114">
        <v>0</v>
      </c>
      <c r="AT16" s="115">
        <v>0</v>
      </c>
    </row>
    <row r="17" spans="2:46" ht="12" customHeight="1" x14ac:dyDescent="0.3">
      <c r="B17" s="113" t="s">
        <v>33</v>
      </c>
      <c r="C17" s="114" t="s">
        <v>37</v>
      </c>
      <c r="D17" s="114" t="s">
        <v>25</v>
      </c>
      <c r="E17" s="114" t="s">
        <v>25</v>
      </c>
      <c r="F17" s="114" t="s">
        <v>25</v>
      </c>
      <c r="G17" s="114" t="s">
        <v>25</v>
      </c>
      <c r="H17" s="114" t="s">
        <v>71</v>
      </c>
      <c r="I17" s="114" t="s">
        <v>25</v>
      </c>
      <c r="J17" s="114">
        <v>18.86</v>
      </c>
      <c r="K17" s="114">
        <v>0</v>
      </c>
      <c r="L17" s="114">
        <v>0</v>
      </c>
      <c r="M17" s="114">
        <v>0</v>
      </c>
      <c r="N17" s="114">
        <v>0</v>
      </c>
      <c r="O17" s="114">
        <v>0</v>
      </c>
      <c r="P17" s="114">
        <v>0</v>
      </c>
      <c r="Q17" s="114">
        <v>0</v>
      </c>
      <c r="R17" s="114">
        <v>0</v>
      </c>
      <c r="S17" s="114">
        <v>0</v>
      </c>
      <c r="T17" s="114">
        <v>0</v>
      </c>
      <c r="U17" s="114">
        <v>0</v>
      </c>
      <c r="V17" s="114">
        <v>0</v>
      </c>
      <c r="W17" s="114">
        <v>0</v>
      </c>
      <c r="X17" s="114">
        <v>12.5607434427636</v>
      </c>
      <c r="Y17" s="114">
        <v>0</v>
      </c>
      <c r="Z17" s="114">
        <v>0</v>
      </c>
      <c r="AA17" s="114">
        <v>6.2987284172720299</v>
      </c>
      <c r="AB17" s="114">
        <v>0</v>
      </c>
      <c r="AC17" s="114">
        <v>0</v>
      </c>
      <c r="AD17" s="114">
        <v>0</v>
      </c>
      <c r="AE17" s="114">
        <v>0</v>
      </c>
      <c r="AF17" s="114">
        <v>0</v>
      </c>
      <c r="AG17" s="114">
        <v>0</v>
      </c>
      <c r="AH17" s="114">
        <v>0</v>
      </c>
      <c r="AI17" s="114">
        <v>0</v>
      </c>
      <c r="AJ17" s="114">
        <v>0</v>
      </c>
      <c r="AK17" s="114">
        <v>0</v>
      </c>
      <c r="AL17" s="114">
        <v>0</v>
      </c>
      <c r="AM17" s="114">
        <v>0</v>
      </c>
      <c r="AN17" s="114">
        <v>0</v>
      </c>
      <c r="AO17" s="114">
        <v>0</v>
      </c>
      <c r="AP17" s="114">
        <v>0</v>
      </c>
      <c r="AQ17" s="114">
        <v>0</v>
      </c>
      <c r="AR17" s="114">
        <v>0</v>
      </c>
      <c r="AS17" s="114">
        <v>0</v>
      </c>
      <c r="AT17" s="115">
        <v>0</v>
      </c>
    </row>
    <row r="18" spans="2:46" ht="12" customHeight="1" x14ac:dyDescent="0.3">
      <c r="B18" s="113" t="s">
        <v>33</v>
      </c>
      <c r="C18" s="114" t="s">
        <v>37</v>
      </c>
      <c r="D18" s="114" t="s">
        <v>25</v>
      </c>
      <c r="E18" s="114" t="s">
        <v>25</v>
      </c>
      <c r="F18" s="114" t="s">
        <v>25</v>
      </c>
      <c r="G18" s="114" t="s">
        <v>36</v>
      </c>
      <c r="H18" s="114" t="s">
        <v>68</v>
      </c>
      <c r="I18" s="114" t="s">
        <v>25</v>
      </c>
      <c r="J18" s="114">
        <v>91.43</v>
      </c>
      <c r="K18" s="114">
        <v>221.79</v>
      </c>
      <c r="L18" s="114">
        <v>0</v>
      </c>
      <c r="M18" s="114">
        <v>0.58074182308024902</v>
      </c>
      <c r="N18" s="114">
        <v>0</v>
      </c>
      <c r="O18" s="114">
        <v>0</v>
      </c>
      <c r="P18" s="114">
        <v>0</v>
      </c>
      <c r="Q18" s="114">
        <v>70.597910478024502</v>
      </c>
      <c r="R18" s="114">
        <v>13.250155086494001</v>
      </c>
      <c r="S18" s="114">
        <v>0</v>
      </c>
      <c r="T18" s="114">
        <v>0</v>
      </c>
      <c r="U18" s="114">
        <v>0</v>
      </c>
      <c r="V18" s="114">
        <v>0</v>
      </c>
      <c r="W18" s="114">
        <v>0</v>
      </c>
      <c r="X18" s="114">
        <v>0</v>
      </c>
      <c r="Y18" s="114">
        <v>0</v>
      </c>
      <c r="Z18" s="114">
        <v>0</v>
      </c>
      <c r="AA18" s="114">
        <v>0</v>
      </c>
      <c r="AB18" s="114">
        <v>0</v>
      </c>
      <c r="AC18" s="114">
        <v>0</v>
      </c>
      <c r="AD18" s="114">
        <v>0</v>
      </c>
      <c r="AE18" s="114">
        <v>7.0006537693757203</v>
      </c>
      <c r="AF18" s="114">
        <v>0</v>
      </c>
      <c r="AG18" s="114">
        <v>0</v>
      </c>
      <c r="AH18" s="114">
        <v>0</v>
      </c>
      <c r="AI18" s="114">
        <v>0</v>
      </c>
      <c r="AJ18" s="114">
        <v>0</v>
      </c>
      <c r="AK18" s="114">
        <v>0</v>
      </c>
      <c r="AL18" s="114">
        <v>15.9995962138726</v>
      </c>
      <c r="AM18" s="114">
        <v>0</v>
      </c>
      <c r="AN18" s="114">
        <v>205.79250926283001</v>
      </c>
      <c r="AO18" s="114">
        <v>0</v>
      </c>
      <c r="AP18" s="114">
        <v>0</v>
      </c>
      <c r="AQ18" s="114">
        <v>0</v>
      </c>
      <c r="AR18" s="114">
        <v>0</v>
      </c>
      <c r="AS18" s="114">
        <v>0</v>
      </c>
      <c r="AT18" s="115">
        <v>0</v>
      </c>
    </row>
    <row r="19" spans="2:46" ht="12" customHeight="1" x14ac:dyDescent="0.3">
      <c r="B19" s="113" t="s">
        <v>77</v>
      </c>
      <c r="C19" s="114" t="s">
        <v>76</v>
      </c>
      <c r="D19" s="114" t="s">
        <v>25</v>
      </c>
      <c r="E19" s="114" t="s">
        <v>25</v>
      </c>
      <c r="F19" s="114" t="s">
        <v>78</v>
      </c>
      <c r="G19" s="114" t="s">
        <v>25</v>
      </c>
      <c r="H19" s="114" t="s">
        <v>71</v>
      </c>
      <c r="I19" s="114" t="s">
        <v>25</v>
      </c>
      <c r="J19" s="114">
        <v>2.95</v>
      </c>
      <c r="K19" s="114">
        <v>0</v>
      </c>
      <c r="L19" s="114">
        <v>0</v>
      </c>
      <c r="M19" s="114">
        <v>9.7153839857044202E-3</v>
      </c>
      <c r="N19" s="114">
        <v>0</v>
      </c>
      <c r="O19" s="114">
        <v>0</v>
      </c>
      <c r="P19" s="114">
        <v>0</v>
      </c>
      <c r="Q19" s="114">
        <v>0</v>
      </c>
      <c r="R19" s="114">
        <v>0</v>
      </c>
      <c r="S19" s="114">
        <v>0</v>
      </c>
      <c r="T19" s="114">
        <v>0</v>
      </c>
      <c r="U19" s="114">
        <v>0</v>
      </c>
      <c r="V19" s="114">
        <v>0</v>
      </c>
      <c r="W19" s="114">
        <v>0</v>
      </c>
      <c r="X19" s="114">
        <v>0</v>
      </c>
      <c r="Y19" s="114">
        <v>0</v>
      </c>
      <c r="Z19" s="114">
        <v>0</v>
      </c>
      <c r="AA19" s="114">
        <v>2.93926285555994</v>
      </c>
      <c r="AB19" s="114">
        <v>0</v>
      </c>
      <c r="AC19" s="114">
        <v>0</v>
      </c>
      <c r="AD19" s="114">
        <v>0</v>
      </c>
      <c r="AE19" s="114">
        <v>0</v>
      </c>
      <c r="AF19" s="114">
        <v>0</v>
      </c>
      <c r="AG19" s="114">
        <v>0</v>
      </c>
      <c r="AH19" s="114">
        <v>0</v>
      </c>
      <c r="AI19" s="114">
        <v>0</v>
      </c>
      <c r="AJ19" s="114">
        <v>0</v>
      </c>
      <c r="AK19" s="114">
        <v>0</v>
      </c>
      <c r="AL19" s="114">
        <v>0</v>
      </c>
      <c r="AM19" s="114">
        <v>0</v>
      </c>
      <c r="AN19" s="114">
        <v>0</v>
      </c>
      <c r="AO19" s="114">
        <v>0</v>
      </c>
      <c r="AP19" s="114">
        <v>0</v>
      </c>
      <c r="AQ19" s="114">
        <v>0</v>
      </c>
      <c r="AR19" s="114">
        <v>0</v>
      </c>
      <c r="AS19" s="114">
        <v>0</v>
      </c>
      <c r="AT19" s="115">
        <v>0</v>
      </c>
    </row>
    <row r="20" spans="2:46" ht="12" customHeight="1" x14ac:dyDescent="0.3">
      <c r="B20" s="113" t="s">
        <v>77</v>
      </c>
      <c r="C20" s="114" t="s">
        <v>76</v>
      </c>
      <c r="D20" s="114" t="s">
        <v>25</v>
      </c>
      <c r="E20" s="114" t="s">
        <v>25</v>
      </c>
      <c r="F20" s="114" t="s">
        <v>79</v>
      </c>
      <c r="G20" s="114" t="s">
        <v>25</v>
      </c>
      <c r="H20" s="114" t="s">
        <v>71</v>
      </c>
      <c r="I20" s="114" t="s">
        <v>25</v>
      </c>
      <c r="J20" s="114">
        <v>5.99</v>
      </c>
      <c r="K20" s="114">
        <v>0</v>
      </c>
      <c r="L20" s="114">
        <v>0</v>
      </c>
      <c r="M20" s="114">
        <v>9.7153839857044202E-3</v>
      </c>
      <c r="N20" s="114">
        <v>0</v>
      </c>
      <c r="O20" s="114">
        <v>0</v>
      </c>
      <c r="P20" s="114">
        <v>0</v>
      </c>
      <c r="Q20" s="114">
        <v>0</v>
      </c>
      <c r="R20" s="114">
        <v>0</v>
      </c>
      <c r="S20" s="114">
        <v>0</v>
      </c>
      <c r="T20" s="114">
        <v>0</v>
      </c>
      <c r="U20" s="114">
        <v>0</v>
      </c>
      <c r="V20" s="114">
        <v>0</v>
      </c>
      <c r="W20" s="114">
        <v>0</v>
      </c>
      <c r="X20" s="114">
        <v>0</v>
      </c>
      <c r="Y20" s="114">
        <v>0</v>
      </c>
      <c r="Z20" s="114">
        <v>0</v>
      </c>
      <c r="AA20" s="114">
        <v>5.98004930972842</v>
      </c>
      <c r="AB20" s="114">
        <v>0</v>
      </c>
      <c r="AC20" s="114">
        <v>0</v>
      </c>
      <c r="AD20" s="114">
        <v>0</v>
      </c>
      <c r="AE20" s="114">
        <v>0</v>
      </c>
      <c r="AF20" s="114">
        <v>0</v>
      </c>
      <c r="AG20" s="114">
        <v>0</v>
      </c>
      <c r="AH20" s="114">
        <v>0</v>
      </c>
      <c r="AI20" s="114">
        <v>0</v>
      </c>
      <c r="AJ20" s="114">
        <v>0</v>
      </c>
      <c r="AK20" s="114">
        <v>0</v>
      </c>
      <c r="AL20" s="114">
        <v>0</v>
      </c>
      <c r="AM20" s="114">
        <v>0</v>
      </c>
      <c r="AN20" s="114">
        <v>0</v>
      </c>
      <c r="AO20" s="114">
        <v>0</v>
      </c>
      <c r="AP20" s="114">
        <v>0</v>
      </c>
      <c r="AQ20" s="114">
        <v>0</v>
      </c>
      <c r="AR20" s="114">
        <v>0</v>
      </c>
      <c r="AS20" s="114">
        <v>0</v>
      </c>
      <c r="AT20" s="115">
        <v>0</v>
      </c>
    </row>
    <row r="21" spans="2:46" ht="12" customHeight="1" x14ac:dyDescent="0.3">
      <c r="B21" s="113" t="s">
        <v>22</v>
      </c>
      <c r="C21" s="114" t="s">
        <v>82</v>
      </c>
      <c r="D21" s="114" t="s">
        <v>24</v>
      </c>
      <c r="E21" s="114" t="s">
        <v>24</v>
      </c>
      <c r="F21" s="114" t="s">
        <v>25</v>
      </c>
      <c r="G21" s="114" t="s">
        <v>35</v>
      </c>
      <c r="H21" s="114" t="s">
        <v>68</v>
      </c>
      <c r="I21" s="114" t="s">
        <v>25</v>
      </c>
      <c r="J21" s="114">
        <v>643.24</v>
      </c>
      <c r="K21" s="114">
        <v>221.79</v>
      </c>
      <c r="L21" s="114">
        <v>0</v>
      </c>
      <c r="M21" s="114">
        <v>0.79347206456283303</v>
      </c>
      <c r="N21" s="114">
        <v>0</v>
      </c>
      <c r="O21" s="114">
        <v>0</v>
      </c>
      <c r="P21" s="114">
        <v>0</v>
      </c>
      <c r="Q21" s="114">
        <v>84.045131521457705</v>
      </c>
      <c r="R21" s="114">
        <v>13.250155086494001</v>
      </c>
      <c r="S21" s="114">
        <v>0</v>
      </c>
      <c r="T21" s="114">
        <v>0</v>
      </c>
      <c r="U21" s="114">
        <v>0</v>
      </c>
      <c r="V21" s="114">
        <v>0</v>
      </c>
      <c r="W21" s="114">
        <v>0</v>
      </c>
      <c r="X21" s="114">
        <v>273.733552421963</v>
      </c>
      <c r="Y21" s="114">
        <v>0</v>
      </c>
      <c r="Z21" s="114">
        <v>0</v>
      </c>
      <c r="AA21" s="114">
        <v>253.28914507528501</v>
      </c>
      <c r="AB21" s="114">
        <v>0</v>
      </c>
      <c r="AC21" s="114">
        <v>0</v>
      </c>
      <c r="AD21" s="114">
        <v>0</v>
      </c>
      <c r="AE21" s="114">
        <v>18.131916131990501</v>
      </c>
      <c r="AF21" s="114">
        <v>0</v>
      </c>
      <c r="AG21" s="114">
        <v>0</v>
      </c>
      <c r="AH21" s="114">
        <v>0</v>
      </c>
      <c r="AI21" s="114">
        <v>0</v>
      </c>
      <c r="AJ21" s="114">
        <v>0</v>
      </c>
      <c r="AK21" s="114">
        <v>0</v>
      </c>
      <c r="AL21" s="114">
        <v>15.9995962138726</v>
      </c>
      <c r="AM21" s="114">
        <v>0</v>
      </c>
      <c r="AN21" s="114">
        <v>205.79250926283001</v>
      </c>
      <c r="AO21" s="114">
        <v>0</v>
      </c>
      <c r="AP21" s="114">
        <v>0</v>
      </c>
      <c r="AQ21" s="114">
        <v>0</v>
      </c>
      <c r="AR21" s="114">
        <v>0</v>
      </c>
      <c r="AS21" s="114">
        <v>0</v>
      </c>
      <c r="AT21" s="115">
        <v>0</v>
      </c>
    </row>
    <row r="22" spans="2:46" ht="12" customHeight="1" x14ac:dyDescent="0.3">
      <c r="B22" s="113" t="s">
        <v>22</v>
      </c>
      <c r="C22" s="114" t="s">
        <v>82</v>
      </c>
      <c r="D22" s="114" t="s">
        <v>24</v>
      </c>
      <c r="E22" s="114" t="s">
        <v>24</v>
      </c>
      <c r="F22" s="114" t="s">
        <v>25</v>
      </c>
      <c r="G22" s="114" t="s">
        <v>514</v>
      </c>
      <c r="H22" s="114" t="s">
        <v>68</v>
      </c>
      <c r="I22" s="114" t="s">
        <v>25</v>
      </c>
      <c r="J22" s="114">
        <v>432.43</v>
      </c>
      <c r="K22" s="114">
        <v>221.79</v>
      </c>
      <c r="L22" s="114">
        <v>0</v>
      </c>
      <c r="M22" s="114">
        <v>0.79347206456283303</v>
      </c>
      <c r="N22" s="114">
        <v>0</v>
      </c>
      <c r="O22" s="114">
        <v>0</v>
      </c>
      <c r="P22" s="114">
        <v>0</v>
      </c>
      <c r="Q22" s="114">
        <v>84.045131521457705</v>
      </c>
      <c r="R22" s="114">
        <v>13.250155086494001</v>
      </c>
      <c r="S22" s="114">
        <v>0</v>
      </c>
      <c r="T22" s="114">
        <v>0</v>
      </c>
      <c r="U22" s="114">
        <v>0</v>
      </c>
      <c r="V22" s="114">
        <v>0</v>
      </c>
      <c r="W22" s="114">
        <v>0</v>
      </c>
      <c r="X22" s="114">
        <v>164.240151843333</v>
      </c>
      <c r="Y22" s="114">
        <v>0</v>
      </c>
      <c r="Z22" s="114">
        <v>0</v>
      </c>
      <c r="AA22" s="114">
        <v>151.97356203951901</v>
      </c>
      <c r="AB22" s="114">
        <v>0</v>
      </c>
      <c r="AC22" s="114">
        <v>0</v>
      </c>
      <c r="AD22" s="114">
        <v>0</v>
      </c>
      <c r="AE22" s="114">
        <v>18.131916131990501</v>
      </c>
      <c r="AF22" s="114">
        <v>0</v>
      </c>
      <c r="AG22" s="114">
        <v>0</v>
      </c>
      <c r="AH22" s="114">
        <v>0</v>
      </c>
      <c r="AI22" s="114">
        <v>0</v>
      </c>
      <c r="AJ22" s="114">
        <v>0</v>
      </c>
      <c r="AK22" s="114">
        <v>0</v>
      </c>
      <c r="AL22" s="114">
        <v>15.9995962138726</v>
      </c>
      <c r="AM22" s="114">
        <v>0</v>
      </c>
      <c r="AN22" s="114">
        <v>205.79250926283001</v>
      </c>
      <c r="AO22" s="114">
        <v>0</v>
      </c>
      <c r="AP22" s="114">
        <v>0</v>
      </c>
      <c r="AQ22" s="114">
        <v>0</v>
      </c>
      <c r="AR22" s="114">
        <v>0</v>
      </c>
      <c r="AS22" s="114">
        <v>0</v>
      </c>
      <c r="AT22" s="115">
        <v>0</v>
      </c>
    </row>
    <row r="23" spans="2:46" ht="12" customHeight="1" x14ac:dyDescent="0.3">
      <c r="B23" s="113" t="s">
        <v>22</v>
      </c>
      <c r="C23" s="114" t="s">
        <v>82</v>
      </c>
      <c r="D23" s="114" t="s">
        <v>24</v>
      </c>
      <c r="E23" s="114" t="s">
        <v>24</v>
      </c>
      <c r="F23" s="114" t="s">
        <v>25</v>
      </c>
      <c r="G23" s="114" t="s">
        <v>36</v>
      </c>
      <c r="H23" s="114" t="s">
        <v>68</v>
      </c>
      <c r="I23" s="114" t="s">
        <v>25</v>
      </c>
      <c r="J23" s="114">
        <v>221.68</v>
      </c>
      <c r="K23" s="114">
        <v>221.79</v>
      </c>
      <c r="L23" s="114">
        <v>0</v>
      </c>
      <c r="M23" s="114">
        <v>0.79347206456283303</v>
      </c>
      <c r="N23" s="114">
        <v>0</v>
      </c>
      <c r="O23" s="114">
        <v>0</v>
      </c>
      <c r="P23" s="114">
        <v>0</v>
      </c>
      <c r="Q23" s="114">
        <v>84.045131521457705</v>
      </c>
      <c r="R23" s="114">
        <v>13.250155086494001</v>
      </c>
      <c r="S23" s="114">
        <v>0</v>
      </c>
      <c r="T23" s="114">
        <v>0</v>
      </c>
      <c r="U23" s="114">
        <v>0</v>
      </c>
      <c r="V23" s="114">
        <v>0</v>
      </c>
      <c r="W23" s="114">
        <v>0</v>
      </c>
      <c r="X23" s="114">
        <v>54.796707145088199</v>
      </c>
      <c r="Y23" s="114">
        <v>0</v>
      </c>
      <c r="Z23" s="114">
        <v>0</v>
      </c>
      <c r="AA23" s="114">
        <v>50.657791517883098</v>
      </c>
      <c r="AB23" s="114">
        <v>0</v>
      </c>
      <c r="AC23" s="114">
        <v>0</v>
      </c>
      <c r="AD23" s="114">
        <v>0</v>
      </c>
      <c r="AE23" s="114">
        <v>18.131916131990501</v>
      </c>
      <c r="AF23" s="114">
        <v>0</v>
      </c>
      <c r="AG23" s="114">
        <v>0</v>
      </c>
      <c r="AH23" s="114">
        <v>0</v>
      </c>
      <c r="AI23" s="114">
        <v>0</v>
      </c>
      <c r="AJ23" s="114">
        <v>0</v>
      </c>
      <c r="AK23" s="114">
        <v>0</v>
      </c>
      <c r="AL23" s="114">
        <v>15.9995962138726</v>
      </c>
      <c r="AM23" s="114">
        <v>0</v>
      </c>
      <c r="AN23" s="114">
        <v>205.79250926283001</v>
      </c>
      <c r="AO23" s="114">
        <v>0</v>
      </c>
      <c r="AP23" s="114">
        <v>0</v>
      </c>
      <c r="AQ23" s="114">
        <v>0</v>
      </c>
      <c r="AR23" s="114">
        <v>0</v>
      </c>
      <c r="AS23" s="114">
        <v>0</v>
      </c>
      <c r="AT23" s="115">
        <v>0</v>
      </c>
    </row>
    <row r="24" spans="2:46" ht="12" customHeight="1" x14ac:dyDescent="0.3">
      <c r="B24" s="113" t="s">
        <v>22</v>
      </c>
      <c r="C24" s="114" t="s">
        <v>23</v>
      </c>
      <c r="D24" s="114" t="s">
        <v>24</v>
      </c>
      <c r="E24" s="114" t="s">
        <v>1042</v>
      </c>
      <c r="F24" s="114" t="s">
        <v>25</v>
      </c>
      <c r="G24" s="114" t="s">
        <v>25</v>
      </c>
      <c r="H24" s="114" t="s">
        <v>68</v>
      </c>
      <c r="I24" s="114" t="s">
        <v>25</v>
      </c>
      <c r="J24" s="114">
        <v>214.07</v>
      </c>
      <c r="K24" s="114">
        <v>221.79</v>
      </c>
      <c r="L24" s="114">
        <v>0</v>
      </c>
      <c r="M24" s="114">
        <v>0.79347206456283303</v>
      </c>
      <c r="N24" s="114">
        <v>0</v>
      </c>
      <c r="O24" s="114">
        <v>0</v>
      </c>
      <c r="P24" s="114">
        <v>0</v>
      </c>
      <c r="Q24" s="114">
        <v>0</v>
      </c>
      <c r="R24" s="114">
        <v>0</v>
      </c>
      <c r="S24" s="114">
        <v>0</v>
      </c>
      <c r="T24" s="114">
        <v>0</v>
      </c>
      <c r="U24" s="114">
        <v>0</v>
      </c>
      <c r="V24" s="114">
        <v>0</v>
      </c>
      <c r="W24" s="114">
        <v>0</v>
      </c>
      <c r="X24" s="114">
        <v>101.33652286874501</v>
      </c>
      <c r="Y24" s="114">
        <v>0</v>
      </c>
      <c r="Z24" s="114">
        <v>0</v>
      </c>
      <c r="AA24" s="114">
        <v>93.810804888209603</v>
      </c>
      <c r="AB24" s="114">
        <v>0</v>
      </c>
      <c r="AC24" s="114">
        <v>0</v>
      </c>
      <c r="AD24" s="114">
        <v>0</v>
      </c>
      <c r="AE24" s="114">
        <v>18.131916131990501</v>
      </c>
      <c r="AF24" s="114">
        <v>0</v>
      </c>
      <c r="AG24" s="114">
        <v>0</v>
      </c>
      <c r="AH24" s="114">
        <v>0</v>
      </c>
      <c r="AI24" s="114">
        <v>0</v>
      </c>
      <c r="AJ24" s="114">
        <v>0</v>
      </c>
      <c r="AK24" s="114">
        <v>0</v>
      </c>
      <c r="AL24" s="114">
        <v>15.9995962138726</v>
      </c>
      <c r="AM24" s="114">
        <v>0</v>
      </c>
      <c r="AN24" s="114">
        <v>205.79250926283001</v>
      </c>
      <c r="AO24" s="114">
        <v>0</v>
      </c>
      <c r="AP24" s="114">
        <v>0</v>
      </c>
      <c r="AQ24" s="114">
        <v>0</v>
      </c>
      <c r="AR24" s="114">
        <v>0</v>
      </c>
      <c r="AS24" s="114">
        <v>0</v>
      </c>
      <c r="AT24" s="115">
        <v>0</v>
      </c>
    </row>
    <row r="25" spans="2:46" ht="12" customHeight="1" x14ac:dyDescent="0.3">
      <c r="B25" s="113" t="s">
        <v>22</v>
      </c>
      <c r="C25" s="114" t="s">
        <v>23</v>
      </c>
      <c r="D25" s="114" t="s">
        <v>24</v>
      </c>
      <c r="E25" s="114" t="s">
        <v>24</v>
      </c>
      <c r="F25" s="114" t="s">
        <v>25</v>
      </c>
      <c r="G25" s="114" t="s">
        <v>25</v>
      </c>
      <c r="H25" s="114" t="s">
        <v>68</v>
      </c>
      <c r="I25" s="114" t="s">
        <v>25</v>
      </c>
      <c r="J25" s="114">
        <v>311.37</v>
      </c>
      <c r="K25" s="114">
        <v>221.79</v>
      </c>
      <c r="L25" s="114">
        <v>0</v>
      </c>
      <c r="M25" s="114">
        <v>0.79347206456283303</v>
      </c>
      <c r="N25" s="114">
        <v>0</v>
      </c>
      <c r="O25" s="114">
        <v>0</v>
      </c>
      <c r="P25" s="114">
        <v>0</v>
      </c>
      <c r="Q25" s="114">
        <v>84.045131521457705</v>
      </c>
      <c r="R25" s="114">
        <v>13.250155086494001</v>
      </c>
      <c r="S25" s="114">
        <v>0</v>
      </c>
      <c r="T25" s="114">
        <v>0</v>
      </c>
      <c r="U25" s="114">
        <v>0</v>
      </c>
      <c r="V25" s="114">
        <v>0</v>
      </c>
      <c r="W25" s="114">
        <v>0</v>
      </c>
      <c r="X25" s="114">
        <v>101.33652286874501</v>
      </c>
      <c r="Y25" s="114">
        <v>0</v>
      </c>
      <c r="Z25" s="114">
        <v>0</v>
      </c>
      <c r="AA25" s="114">
        <v>93.810804888209603</v>
      </c>
      <c r="AB25" s="114">
        <v>0</v>
      </c>
      <c r="AC25" s="114">
        <v>0</v>
      </c>
      <c r="AD25" s="114">
        <v>0</v>
      </c>
      <c r="AE25" s="114">
        <v>18.131916131990501</v>
      </c>
      <c r="AF25" s="114">
        <v>0</v>
      </c>
      <c r="AG25" s="114">
        <v>0</v>
      </c>
      <c r="AH25" s="114">
        <v>0</v>
      </c>
      <c r="AI25" s="114">
        <v>0</v>
      </c>
      <c r="AJ25" s="114">
        <v>0</v>
      </c>
      <c r="AK25" s="114">
        <v>0</v>
      </c>
      <c r="AL25" s="114">
        <v>15.9995962138726</v>
      </c>
      <c r="AM25" s="114">
        <v>0</v>
      </c>
      <c r="AN25" s="114">
        <v>205.79250926283001</v>
      </c>
      <c r="AO25" s="114">
        <v>0</v>
      </c>
      <c r="AP25" s="114">
        <v>0</v>
      </c>
      <c r="AQ25" s="114">
        <v>0</v>
      </c>
      <c r="AR25" s="114">
        <v>0</v>
      </c>
      <c r="AS25" s="114">
        <v>0</v>
      </c>
      <c r="AT25" s="115">
        <v>0</v>
      </c>
    </row>
    <row r="26" spans="2:46" ht="12" customHeight="1" x14ac:dyDescent="0.3">
      <c r="B26" s="113" t="s">
        <v>22</v>
      </c>
      <c r="C26" s="114" t="s">
        <v>84</v>
      </c>
      <c r="D26" s="114" t="s">
        <v>24</v>
      </c>
      <c r="E26" s="114" t="s">
        <v>1042</v>
      </c>
      <c r="F26" s="114" t="s">
        <v>25</v>
      </c>
      <c r="G26" s="114" t="s">
        <v>25</v>
      </c>
      <c r="H26" s="114" t="s">
        <v>68</v>
      </c>
      <c r="I26" s="114" t="s">
        <v>25</v>
      </c>
      <c r="J26" s="114">
        <v>0.79</v>
      </c>
      <c r="K26" s="114">
        <v>221.79</v>
      </c>
      <c r="L26" s="114">
        <v>0</v>
      </c>
      <c r="M26" s="114">
        <v>0.79347206456283303</v>
      </c>
      <c r="N26" s="114">
        <v>0</v>
      </c>
      <c r="O26" s="114">
        <v>0</v>
      </c>
      <c r="P26" s="114">
        <v>0</v>
      </c>
      <c r="Q26" s="114">
        <v>0</v>
      </c>
      <c r="R26" s="114">
        <v>0</v>
      </c>
      <c r="S26" s="114">
        <v>0</v>
      </c>
      <c r="T26" s="114">
        <v>0</v>
      </c>
      <c r="U26" s="114">
        <v>0</v>
      </c>
      <c r="V26" s="114">
        <v>0</v>
      </c>
      <c r="W26" s="114">
        <v>0</v>
      </c>
      <c r="X26" s="114">
        <v>0</v>
      </c>
      <c r="Y26" s="114">
        <v>0</v>
      </c>
      <c r="Z26" s="114">
        <v>0</v>
      </c>
      <c r="AA26" s="114">
        <v>0</v>
      </c>
      <c r="AB26" s="114">
        <v>0</v>
      </c>
      <c r="AC26" s="114">
        <v>0</v>
      </c>
      <c r="AD26" s="114">
        <v>0</v>
      </c>
      <c r="AE26" s="114">
        <v>0</v>
      </c>
      <c r="AF26" s="114">
        <v>0</v>
      </c>
      <c r="AG26" s="114">
        <v>0</v>
      </c>
      <c r="AH26" s="114">
        <v>0</v>
      </c>
      <c r="AI26" s="114">
        <v>0</v>
      </c>
      <c r="AJ26" s="114">
        <v>0</v>
      </c>
      <c r="AK26" s="114">
        <v>0</v>
      </c>
      <c r="AL26" s="114">
        <v>15.9995962138726</v>
      </c>
      <c r="AM26" s="114">
        <v>0</v>
      </c>
      <c r="AN26" s="114">
        <v>205.79250926283001</v>
      </c>
      <c r="AO26" s="114">
        <v>0</v>
      </c>
      <c r="AP26" s="114">
        <v>0</v>
      </c>
      <c r="AQ26" s="114">
        <v>0</v>
      </c>
      <c r="AR26" s="114">
        <v>0</v>
      </c>
      <c r="AS26" s="114">
        <v>0</v>
      </c>
      <c r="AT26" s="115">
        <v>0</v>
      </c>
    </row>
    <row r="27" spans="2:46" ht="12" customHeight="1" x14ac:dyDescent="0.3">
      <c r="B27" s="113" t="s">
        <v>22</v>
      </c>
      <c r="C27" s="114" t="s">
        <v>84</v>
      </c>
      <c r="D27" s="114" t="s">
        <v>24</v>
      </c>
      <c r="E27" s="114" t="s">
        <v>24</v>
      </c>
      <c r="F27" s="114" t="s">
        <v>25</v>
      </c>
      <c r="G27" s="114" t="s">
        <v>25</v>
      </c>
      <c r="H27" s="114" t="s">
        <v>68</v>
      </c>
      <c r="I27" s="114" t="s">
        <v>25</v>
      </c>
      <c r="J27" s="114">
        <v>98.09</v>
      </c>
      <c r="K27" s="114">
        <v>221.79</v>
      </c>
      <c r="L27" s="114">
        <v>0</v>
      </c>
      <c r="M27" s="114">
        <v>0.79347206456283303</v>
      </c>
      <c r="N27" s="114">
        <v>0</v>
      </c>
      <c r="O27" s="114">
        <v>0</v>
      </c>
      <c r="P27" s="114">
        <v>0</v>
      </c>
      <c r="Q27" s="114">
        <v>84.045131521457705</v>
      </c>
      <c r="R27" s="114">
        <v>13.250155086494001</v>
      </c>
      <c r="S27" s="114">
        <v>0</v>
      </c>
      <c r="T27" s="114">
        <v>0</v>
      </c>
      <c r="U27" s="114">
        <v>0</v>
      </c>
      <c r="V27" s="114">
        <v>0</v>
      </c>
      <c r="W27" s="114">
        <v>0</v>
      </c>
      <c r="X27" s="114">
        <v>0</v>
      </c>
      <c r="Y27" s="114">
        <v>0</v>
      </c>
      <c r="Z27" s="114">
        <v>0</v>
      </c>
      <c r="AA27" s="114">
        <v>0</v>
      </c>
      <c r="AB27" s="114">
        <v>0</v>
      </c>
      <c r="AC27" s="114">
        <v>0</v>
      </c>
      <c r="AD27" s="114">
        <v>0</v>
      </c>
      <c r="AE27" s="114">
        <v>0</v>
      </c>
      <c r="AF27" s="114">
        <v>0</v>
      </c>
      <c r="AG27" s="114">
        <v>0</v>
      </c>
      <c r="AH27" s="114">
        <v>0</v>
      </c>
      <c r="AI27" s="114">
        <v>0</v>
      </c>
      <c r="AJ27" s="114">
        <v>0</v>
      </c>
      <c r="AK27" s="114">
        <v>0</v>
      </c>
      <c r="AL27" s="114">
        <v>15.9995962138726</v>
      </c>
      <c r="AM27" s="114">
        <v>0</v>
      </c>
      <c r="AN27" s="114">
        <v>205.79250926283001</v>
      </c>
      <c r="AO27" s="114">
        <v>0</v>
      </c>
      <c r="AP27" s="114">
        <v>0</v>
      </c>
      <c r="AQ27" s="114">
        <v>0</v>
      </c>
      <c r="AR27" s="114">
        <v>0</v>
      </c>
      <c r="AS27" s="114">
        <v>0</v>
      </c>
      <c r="AT27" s="115">
        <v>0</v>
      </c>
    </row>
    <row r="28" spans="2:46" ht="12" customHeight="1" x14ac:dyDescent="0.3">
      <c r="B28" s="113" t="s">
        <v>39</v>
      </c>
      <c r="C28" s="114" t="s">
        <v>82</v>
      </c>
      <c r="D28" s="114" t="s">
        <v>40</v>
      </c>
      <c r="E28" s="114" t="s">
        <v>85</v>
      </c>
      <c r="F28" s="114" t="s">
        <v>25</v>
      </c>
      <c r="G28" s="114" t="s">
        <v>35</v>
      </c>
      <c r="H28" s="114" t="s">
        <v>68</v>
      </c>
      <c r="I28" s="114" t="s">
        <v>25</v>
      </c>
      <c r="J28" s="114">
        <v>650.4</v>
      </c>
      <c r="K28" s="114">
        <v>208.48</v>
      </c>
      <c r="L28" s="114">
        <v>0</v>
      </c>
      <c r="M28" s="114">
        <v>0.74586374068906303</v>
      </c>
      <c r="N28" s="114">
        <v>0</v>
      </c>
      <c r="O28" s="114">
        <v>0</v>
      </c>
      <c r="P28" s="114">
        <v>0</v>
      </c>
      <c r="Q28" s="114">
        <v>79.002423630170298</v>
      </c>
      <c r="R28" s="114">
        <v>12.455145781304299</v>
      </c>
      <c r="S28" s="114">
        <v>0</v>
      </c>
      <c r="T28" s="114">
        <v>0</v>
      </c>
      <c r="U28" s="114">
        <v>0</v>
      </c>
      <c r="V28" s="114">
        <v>0</v>
      </c>
      <c r="W28" s="114">
        <v>0</v>
      </c>
      <c r="X28" s="114">
        <v>281.01774983789397</v>
      </c>
      <c r="Y28" s="114">
        <v>0</v>
      </c>
      <c r="Z28" s="114">
        <v>0</v>
      </c>
      <c r="AA28" s="114">
        <v>260.13737957867698</v>
      </c>
      <c r="AB28" s="114">
        <v>0</v>
      </c>
      <c r="AC28" s="114">
        <v>0</v>
      </c>
      <c r="AD28" s="114">
        <v>0</v>
      </c>
      <c r="AE28" s="114">
        <v>17.044001164071101</v>
      </c>
      <c r="AF28" s="114">
        <v>0</v>
      </c>
      <c r="AG28" s="114">
        <v>0</v>
      </c>
      <c r="AH28" s="114">
        <v>0</v>
      </c>
      <c r="AI28" s="114">
        <v>0</v>
      </c>
      <c r="AJ28" s="114">
        <v>0</v>
      </c>
      <c r="AK28" s="114">
        <v>0</v>
      </c>
      <c r="AL28" s="114">
        <v>15.039620441040199</v>
      </c>
      <c r="AM28" s="114">
        <v>0</v>
      </c>
      <c r="AN28" s="114">
        <v>193.44495870706101</v>
      </c>
      <c r="AO28" s="114">
        <v>0</v>
      </c>
      <c r="AP28" s="114">
        <v>0</v>
      </c>
      <c r="AQ28" s="114">
        <v>0</v>
      </c>
      <c r="AR28" s="114">
        <v>0</v>
      </c>
      <c r="AS28" s="114">
        <v>0</v>
      </c>
      <c r="AT28" s="115">
        <v>0</v>
      </c>
    </row>
    <row r="29" spans="2:46" ht="12" customHeight="1" x14ac:dyDescent="0.3">
      <c r="B29" s="113" t="s">
        <v>39</v>
      </c>
      <c r="C29" s="114" t="s">
        <v>82</v>
      </c>
      <c r="D29" s="114" t="s">
        <v>40</v>
      </c>
      <c r="E29" s="114" t="s">
        <v>85</v>
      </c>
      <c r="F29" s="114" t="s">
        <v>25</v>
      </c>
      <c r="G29" s="114" t="s">
        <v>514</v>
      </c>
      <c r="H29" s="114" t="s">
        <v>68</v>
      </c>
      <c r="I29" s="114" t="s">
        <v>25</v>
      </c>
      <c r="J29" s="114">
        <v>433.92</v>
      </c>
      <c r="K29" s="114">
        <v>208.48</v>
      </c>
      <c r="L29" s="114">
        <v>0</v>
      </c>
      <c r="M29" s="114">
        <v>0.74586374068906303</v>
      </c>
      <c r="N29" s="114">
        <v>0</v>
      </c>
      <c r="O29" s="114">
        <v>0</v>
      </c>
      <c r="P29" s="114">
        <v>0</v>
      </c>
      <c r="Q29" s="114">
        <v>79.002423630170298</v>
      </c>
      <c r="R29" s="114">
        <v>12.455145781304299</v>
      </c>
      <c r="S29" s="114">
        <v>0</v>
      </c>
      <c r="T29" s="114">
        <v>0</v>
      </c>
      <c r="U29" s="114">
        <v>0</v>
      </c>
      <c r="V29" s="114">
        <v>0</v>
      </c>
      <c r="W29" s="114">
        <v>0</v>
      </c>
      <c r="X29" s="114">
        <v>168.59184732496601</v>
      </c>
      <c r="Y29" s="114">
        <v>0</v>
      </c>
      <c r="Z29" s="114">
        <v>0</v>
      </c>
      <c r="AA29" s="114">
        <v>156.08237487619101</v>
      </c>
      <c r="AB29" s="114">
        <v>0</v>
      </c>
      <c r="AC29" s="114">
        <v>0</v>
      </c>
      <c r="AD29" s="114">
        <v>0</v>
      </c>
      <c r="AE29" s="114">
        <v>17.044001164071101</v>
      </c>
      <c r="AF29" s="114">
        <v>0</v>
      </c>
      <c r="AG29" s="114">
        <v>0</v>
      </c>
      <c r="AH29" s="114">
        <v>0</v>
      </c>
      <c r="AI29" s="114">
        <v>0</v>
      </c>
      <c r="AJ29" s="114">
        <v>0</v>
      </c>
      <c r="AK29" s="114">
        <v>0</v>
      </c>
      <c r="AL29" s="114">
        <v>15.039620441040199</v>
      </c>
      <c r="AM29" s="114">
        <v>0</v>
      </c>
      <c r="AN29" s="114">
        <v>193.44495870706101</v>
      </c>
      <c r="AO29" s="114">
        <v>0</v>
      </c>
      <c r="AP29" s="114">
        <v>0</v>
      </c>
      <c r="AQ29" s="114">
        <v>0</v>
      </c>
      <c r="AR29" s="114">
        <v>0</v>
      </c>
      <c r="AS29" s="114">
        <v>0</v>
      </c>
      <c r="AT29" s="115">
        <v>0</v>
      </c>
    </row>
    <row r="30" spans="2:46" ht="12" customHeight="1" x14ac:dyDescent="0.3">
      <c r="B30" s="113" t="s">
        <v>39</v>
      </c>
      <c r="C30" s="114" t="s">
        <v>82</v>
      </c>
      <c r="D30" s="114" t="s">
        <v>40</v>
      </c>
      <c r="E30" s="114" t="s">
        <v>85</v>
      </c>
      <c r="F30" s="114" t="s">
        <v>25</v>
      </c>
      <c r="G30" s="114" t="s">
        <v>36</v>
      </c>
      <c r="H30" s="114" t="s">
        <v>68</v>
      </c>
      <c r="I30" s="114" t="s">
        <v>25</v>
      </c>
      <c r="J30" s="114">
        <v>217.44</v>
      </c>
      <c r="K30" s="114">
        <v>208.48</v>
      </c>
      <c r="L30" s="114">
        <v>0</v>
      </c>
      <c r="M30" s="114">
        <v>0.74586374068906303</v>
      </c>
      <c r="N30" s="114">
        <v>0</v>
      </c>
      <c r="O30" s="114">
        <v>0</v>
      </c>
      <c r="P30" s="114">
        <v>0</v>
      </c>
      <c r="Q30" s="114">
        <v>79.002423630170298</v>
      </c>
      <c r="R30" s="114">
        <v>12.455145781304299</v>
      </c>
      <c r="S30" s="114">
        <v>0</v>
      </c>
      <c r="T30" s="114">
        <v>0</v>
      </c>
      <c r="U30" s="114">
        <v>0</v>
      </c>
      <c r="V30" s="114">
        <v>0</v>
      </c>
      <c r="W30" s="114">
        <v>0</v>
      </c>
      <c r="X30" s="114">
        <v>56.165944812037502</v>
      </c>
      <c r="Y30" s="114">
        <v>0</v>
      </c>
      <c r="Z30" s="114">
        <v>0</v>
      </c>
      <c r="AA30" s="114">
        <v>52.027458292063599</v>
      </c>
      <c r="AB30" s="114">
        <v>0</v>
      </c>
      <c r="AC30" s="114">
        <v>0</v>
      </c>
      <c r="AD30" s="114">
        <v>0</v>
      </c>
      <c r="AE30" s="114">
        <v>17.044001164071101</v>
      </c>
      <c r="AF30" s="114">
        <v>0</v>
      </c>
      <c r="AG30" s="114">
        <v>0</v>
      </c>
      <c r="AH30" s="114">
        <v>0</v>
      </c>
      <c r="AI30" s="114">
        <v>0</v>
      </c>
      <c r="AJ30" s="114">
        <v>0</v>
      </c>
      <c r="AK30" s="114">
        <v>0</v>
      </c>
      <c r="AL30" s="114">
        <v>15.039620441040199</v>
      </c>
      <c r="AM30" s="114">
        <v>0</v>
      </c>
      <c r="AN30" s="114">
        <v>193.44495870706101</v>
      </c>
      <c r="AO30" s="114">
        <v>0</v>
      </c>
      <c r="AP30" s="114">
        <v>0</v>
      </c>
      <c r="AQ30" s="114">
        <v>0</v>
      </c>
      <c r="AR30" s="114">
        <v>0</v>
      </c>
      <c r="AS30" s="114">
        <v>0</v>
      </c>
      <c r="AT30" s="115">
        <v>0</v>
      </c>
    </row>
    <row r="31" spans="2:46" ht="12" customHeight="1" x14ac:dyDescent="0.3">
      <c r="B31" s="113" t="s">
        <v>39</v>
      </c>
      <c r="C31" s="114" t="s">
        <v>82</v>
      </c>
      <c r="D31" s="114" t="s">
        <v>40</v>
      </c>
      <c r="E31" s="114" t="s">
        <v>25</v>
      </c>
      <c r="F31" s="114" t="s">
        <v>25</v>
      </c>
      <c r="G31" s="114" t="s">
        <v>35</v>
      </c>
      <c r="H31" s="114" t="s">
        <v>68</v>
      </c>
      <c r="I31" s="114" t="s">
        <v>25</v>
      </c>
      <c r="J31" s="114">
        <v>650.4</v>
      </c>
      <c r="K31" s="114">
        <v>208.48</v>
      </c>
      <c r="L31" s="114">
        <v>0</v>
      </c>
      <c r="M31" s="114">
        <v>0.74586374068906303</v>
      </c>
      <c r="N31" s="114">
        <v>0</v>
      </c>
      <c r="O31" s="114">
        <v>0</v>
      </c>
      <c r="P31" s="114">
        <v>0</v>
      </c>
      <c r="Q31" s="114">
        <v>79.002423630170298</v>
      </c>
      <c r="R31" s="114">
        <v>12.455145781304299</v>
      </c>
      <c r="S31" s="114">
        <v>0</v>
      </c>
      <c r="T31" s="114">
        <v>0</v>
      </c>
      <c r="U31" s="114">
        <v>0</v>
      </c>
      <c r="V31" s="114">
        <v>0</v>
      </c>
      <c r="W31" s="114">
        <v>0</v>
      </c>
      <c r="X31" s="114">
        <v>281.01774983789397</v>
      </c>
      <c r="Y31" s="114">
        <v>0</v>
      </c>
      <c r="Z31" s="114">
        <v>0</v>
      </c>
      <c r="AA31" s="114">
        <v>260.13737957867698</v>
      </c>
      <c r="AB31" s="114">
        <v>0</v>
      </c>
      <c r="AC31" s="114">
        <v>0</v>
      </c>
      <c r="AD31" s="114">
        <v>0</v>
      </c>
      <c r="AE31" s="114">
        <v>17.044001164071101</v>
      </c>
      <c r="AF31" s="114">
        <v>0</v>
      </c>
      <c r="AG31" s="114">
        <v>0</v>
      </c>
      <c r="AH31" s="114">
        <v>0</v>
      </c>
      <c r="AI31" s="114">
        <v>0</v>
      </c>
      <c r="AJ31" s="114">
        <v>0</v>
      </c>
      <c r="AK31" s="114">
        <v>0</v>
      </c>
      <c r="AL31" s="114">
        <v>15.039620441040199</v>
      </c>
      <c r="AM31" s="114">
        <v>0</v>
      </c>
      <c r="AN31" s="114">
        <v>193.44495870706101</v>
      </c>
      <c r="AO31" s="114">
        <v>0</v>
      </c>
      <c r="AP31" s="114">
        <v>0</v>
      </c>
      <c r="AQ31" s="114">
        <v>0</v>
      </c>
      <c r="AR31" s="114">
        <v>0</v>
      </c>
      <c r="AS31" s="114">
        <v>0</v>
      </c>
      <c r="AT31" s="115">
        <v>0</v>
      </c>
    </row>
    <row r="32" spans="2:46" ht="12" customHeight="1" x14ac:dyDescent="0.3">
      <c r="B32" s="113" t="s">
        <v>39</v>
      </c>
      <c r="C32" s="114" t="s">
        <v>82</v>
      </c>
      <c r="D32" s="114" t="s">
        <v>40</v>
      </c>
      <c r="E32" s="114" t="s">
        <v>25</v>
      </c>
      <c r="F32" s="114" t="s">
        <v>25</v>
      </c>
      <c r="G32" s="114" t="s">
        <v>514</v>
      </c>
      <c r="H32" s="114" t="s">
        <v>68</v>
      </c>
      <c r="I32" s="114" t="s">
        <v>25</v>
      </c>
      <c r="J32" s="114">
        <v>433.92</v>
      </c>
      <c r="K32" s="114">
        <v>208.48</v>
      </c>
      <c r="L32" s="114">
        <v>0</v>
      </c>
      <c r="M32" s="114">
        <v>0.74586374068906303</v>
      </c>
      <c r="N32" s="114">
        <v>0</v>
      </c>
      <c r="O32" s="114">
        <v>0</v>
      </c>
      <c r="P32" s="114">
        <v>0</v>
      </c>
      <c r="Q32" s="114">
        <v>79.002423630170298</v>
      </c>
      <c r="R32" s="114">
        <v>12.455145781304299</v>
      </c>
      <c r="S32" s="114">
        <v>0</v>
      </c>
      <c r="T32" s="114">
        <v>0</v>
      </c>
      <c r="U32" s="114">
        <v>0</v>
      </c>
      <c r="V32" s="114">
        <v>0</v>
      </c>
      <c r="W32" s="114">
        <v>0</v>
      </c>
      <c r="X32" s="114">
        <v>168.59184732496601</v>
      </c>
      <c r="Y32" s="114">
        <v>0</v>
      </c>
      <c r="Z32" s="114">
        <v>0</v>
      </c>
      <c r="AA32" s="114">
        <v>156.08237487619101</v>
      </c>
      <c r="AB32" s="114">
        <v>0</v>
      </c>
      <c r="AC32" s="114">
        <v>0</v>
      </c>
      <c r="AD32" s="114">
        <v>0</v>
      </c>
      <c r="AE32" s="114">
        <v>17.044001164071101</v>
      </c>
      <c r="AF32" s="114">
        <v>0</v>
      </c>
      <c r="AG32" s="114">
        <v>0</v>
      </c>
      <c r="AH32" s="114">
        <v>0</v>
      </c>
      <c r="AI32" s="114">
        <v>0</v>
      </c>
      <c r="AJ32" s="114">
        <v>0</v>
      </c>
      <c r="AK32" s="114">
        <v>0</v>
      </c>
      <c r="AL32" s="114">
        <v>15.039620441040199</v>
      </c>
      <c r="AM32" s="114">
        <v>0</v>
      </c>
      <c r="AN32" s="114">
        <v>193.44495870706101</v>
      </c>
      <c r="AO32" s="114">
        <v>0</v>
      </c>
      <c r="AP32" s="114">
        <v>0</v>
      </c>
      <c r="AQ32" s="114">
        <v>0</v>
      </c>
      <c r="AR32" s="114">
        <v>0</v>
      </c>
      <c r="AS32" s="114">
        <v>0</v>
      </c>
      <c r="AT32" s="115">
        <v>0</v>
      </c>
    </row>
    <row r="33" spans="2:46" ht="12" customHeight="1" x14ac:dyDescent="0.3">
      <c r="B33" s="113" t="s">
        <v>39</v>
      </c>
      <c r="C33" s="114" t="s">
        <v>82</v>
      </c>
      <c r="D33" s="114" t="s">
        <v>40</v>
      </c>
      <c r="E33" s="114" t="s">
        <v>25</v>
      </c>
      <c r="F33" s="114" t="s">
        <v>25</v>
      </c>
      <c r="G33" s="114" t="s">
        <v>36</v>
      </c>
      <c r="H33" s="114" t="s">
        <v>68</v>
      </c>
      <c r="I33" s="114" t="s">
        <v>25</v>
      </c>
      <c r="J33" s="114">
        <v>217.44</v>
      </c>
      <c r="K33" s="114">
        <v>208.48</v>
      </c>
      <c r="L33" s="114">
        <v>0</v>
      </c>
      <c r="M33" s="114">
        <v>0.74586374068906303</v>
      </c>
      <c r="N33" s="114">
        <v>0</v>
      </c>
      <c r="O33" s="114">
        <v>0</v>
      </c>
      <c r="P33" s="114">
        <v>0</v>
      </c>
      <c r="Q33" s="114">
        <v>79.002423630170298</v>
      </c>
      <c r="R33" s="114">
        <v>12.455145781304299</v>
      </c>
      <c r="S33" s="114">
        <v>0</v>
      </c>
      <c r="T33" s="114">
        <v>0</v>
      </c>
      <c r="U33" s="114">
        <v>0</v>
      </c>
      <c r="V33" s="114">
        <v>0</v>
      </c>
      <c r="W33" s="114">
        <v>0</v>
      </c>
      <c r="X33" s="114">
        <v>56.165944812037502</v>
      </c>
      <c r="Y33" s="114">
        <v>0</v>
      </c>
      <c r="Z33" s="114">
        <v>0</v>
      </c>
      <c r="AA33" s="114">
        <v>52.027458292063599</v>
      </c>
      <c r="AB33" s="114">
        <v>0</v>
      </c>
      <c r="AC33" s="114">
        <v>0</v>
      </c>
      <c r="AD33" s="114">
        <v>0</v>
      </c>
      <c r="AE33" s="114">
        <v>17.044001164071101</v>
      </c>
      <c r="AF33" s="114">
        <v>0</v>
      </c>
      <c r="AG33" s="114">
        <v>0</v>
      </c>
      <c r="AH33" s="114">
        <v>0</v>
      </c>
      <c r="AI33" s="114">
        <v>0</v>
      </c>
      <c r="AJ33" s="114">
        <v>0</v>
      </c>
      <c r="AK33" s="114">
        <v>0</v>
      </c>
      <c r="AL33" s="114">
        <v>15.039620441040199</v>
      </c>
      <c r="AM33" s="114">
        <v>0</v>
      </c>
      <c r="AN33" s="114">
        <v>193.44495870706101</v>
      </c>
      <c r="AO33" s="114">
        <v>0</v>
      </c>
      <c r="AP33" s="114">
        <v>0</v>
      </c>
      <c r="AQ33" s="114">
        <v>0</v>
      </c>
      <c r="AR33" s="114">
        <v>0</v>
      </c>
      <c r="AS33" s="114">
        <v>0</v>
      </c>
      <c r="AT33" s="115">
        <v>0</v>
      </c>
    </row>
    <row r="34" spans="2:46" ht="12" customHeight="1" x14ac:dyDescent="0.3">
      <c r="B34" s="113" t="s">
        <v>39</v>
      </c>
      <c r="C34" s="114" t="s">
        <v>82</v>
      </c>
      <c r="D34" s="114" t="s">
        <v>40</v>
      </c>
      <c r="E34" s="114" t="s">
        <v>86</v>
      </c>
      <c r="F34" s="114" t="s">
        <v>25</v>
      </c>
      <c r="G34" s="114" t="s">
        <v>35</v>
      </c>
      <c r="H34" s="114" t="s">
        <v>68</v>
      </c>
      <c r="I34" s="114" t="s">
        <v>25</v>
      </c>
      <c r="J34" s="114">
        <v>636.55999999999995</v>
      </c>
      <c r="K34" s="114">
        <v>204.05</v>
      </c>
      <c r="L34" s="114">
        <v>0</v>
      </c>
      <c r="M34" s="114">
        <v>0.72999429939780602</v>
      </c>
      <c r="N34" s="114">
        <v>0</v>
      </c>
      <c r="O34" s="114">
        <v>0</v>
      </c>
      <c r="P34" s="114">
        <v>0</v>
      </c>
      <c r="Q34" s="114">
        <v>77.321520999741097</v>
      </c>
      <c r="R34" s="114">
        <v>12.1901426795744</v>
      </c>
      <c r="S34" s="114">
        <v>0</v>
      </c>
      <c r="T34" s="114">
        <v>0</v>
      </c>
      <c r="U34" s="114">
        <v>0</v>
      </c>
      <c r="V34" s="114">
        <v>0</v>
      </c>
      <c r="W34" s="114">
        <v>0</v>
      </c>
      <c r="X34" s="114">
        <v>275.03864877751403</v>
      </c>
      <c r="Y34" s="114">
        <v>0</v>
      </c>
      <c r="Z34" s="114">
        <v>0</v>
      </c>
      <c r="AA34" s="114">
        <v>254.60254171530099</v>
      </c>
      <c r="AB34" s="114">
        <v>0</v>
      </c>
      <c r="AC34" s="114">
        <v>0</v>
      </c>
      <c r="AD34" s="114">
        <v>0</v>
      </c>
      <c r="AE34" s="114">
        <v>16.681362841431302</v>
      </c>
      <c r="AF34" s="114">
        <v>0</v>
      </c>
      <c r="AG34" s="114">
        <v>0</v>
      </c>
      <c r="AH34" s="114">
        <v>0</v>
      </c>
      <c r="AI34" s="114">
        <v>0</v>
      </c>
      <c r="AJ34" s="114">
        <v>0</v>
      </c>
      <c r="AK34" s="114">
        <v>0</v>
      </c>
      <c r="AL34" s="114">
        <v>14.7196285167628</v>
      </c>
      <c r="AM34" s="114">
        <v>0</v>
      </c>
      <c r="AN34" s="114">
        <v>189.32910852180399</v>
      </c>
      <c r="AO34" s="114">
        <v>0</v>
      </c>
      <c r="AP34" s="114">
        <v>0</v>
      </c>
      <c r="AQ34" s="114">
        <v>0</v>
      </c>
      <c r="AR34" s="114">
        <v>0</v>
      </c>
      <c r="AS34" s="114">
        <v>0</v>
      </c>
      <c r="AT34" s="115">
        <v>0</v>
      </c>
    </row>
    <row r="35" spans="2:46" ht="12" customHeight="1" x14ac:dyDescent="0.3">
      <c r="B35" s="113" t="s">
        <v>39</v>
      </c>
      <c r="C35" s="114" t="s">
        <v>82</v>
      </c>
      <c r="D35" s="114" t="s">
        <v>40</v>
      </c>
      <c r="E35" s="114" t="s">
        <v>86</v>
      </c>
      <c r="F35" s="114" t="s">
        <v>25</v>
      </c>
      <c r="G35" s="114" t="s">
        <v>514</v>
      </c>
      <c r="H35" s="114" t="s">
        <v>68</v>
      </c>
      <c r="I35" s="114" t="s">
        <v>25</v>
      </c>
      <c r="J35" s="114">
        <v>424.69</v>
      </c>
      <c r="K35" s="114">
        <v>204.05</v>
      </c>
      <c r="L35" s="114">
        <v>0</v>
      </c>
      <c r="M35" s="114">
        <v>0.72999429939780602</v>
      </c>
      <c r="N35" s="114">
        <v>0</v>
      </c>
      <c r="O35" s="114">
        <v>0</v>
      </c>
      <c r="P35" s="114">
        <v>0</v>
      </c>
      <c r="Q35" s="114">
        <v>77.321520999741097</v>
      </c>
      <c r="R35" s="114">
        <v>12.1901426795744</v>
      </c>
      <c r="S35" s="114">
        <v>0</v>
      </c>
      <c r="T35" s="114">
        <v>0</v>
      </c>
      <c r="U35" s="114">
        <v>0</v>
      </c>
      <c r="V35" s="114">
        <v>0</v>
      </c>
      <c r="W35" s="114">
        <v>0</v>
      </c>
      <c r="X35" s="114">
        <v>165.00478674358399</v>
      </c>
      <c r="Y35" s="114">
        <v>0</v>
      </c>
      <c r="Z35" s="114">
        <v>0</v>
      </c>
      <c r="AA35" s="114">
        <v>152.76147328307999</v>
      </c>
      <c r="AB35" s="114">
        <v>0</v>
      </c>
      <c r="AC35" s="114">
        <v>0</v>
      </c>
      <c r="AD35" s="114">
        <v>0</v>
      </c>
      <c r="AE35" s="114">
        <v>16.681362841431302</v>
      </c>
      <c r="AF35" s="114">
        <v>0</v>
      </c>
      <c r="AG35" s="114">
        <v>0</v>
      </c>
      <c r="AH35" s="114">
        <v>0</v>
      </c>
      <c r="AI35" s="114">
        <v>0</v>
      </c>
      <c r="AJ35" s="114">
        <v>0</v>
      </c>
      <c r="AK35" s="114">
        <v>0</v>
      </c>
      <c r="AL35" s="114">
        <v>14.7196285167628</v>
      </c>
      <c r="AM35" s="114">
        <v>0</v>
      </c>
      <c r="AN35" s="114">
        <v>189.32910852180399</v>
      </c>
      <c r="AO35" s="114">
        <v>0</v>
      </c>
      <c r="AP35" s="114">
        <v>0</v>
      </c>
      <c r="AQ35" s="114">
        <v>0</v>
      </c>
      <c r="AR35" s="114">
        <v>0</v>
      </c>
      <c r="AS35" s="114">
        <v>0</v>
      </c>
      <c r="AT35" s="115">
        <v>0</v>
      </c>
    </row>
    <row r="36" spans="2:46" ht="12" customHeight="1" x14ac:dyDescent="0.3">
      <c r="B36" s="113" t="s">
        <v>39</v>
      </c>
      <c r="C36" s="114" t="s">
        <v>82</v>
      </c>
      <c r="D36" s="114" t="s">
        <v>40</v>
      </c>
      <c r="E36" s="114" t="s">
        <v>86</v>
      </c>
      <c r="F36" s="114" t="s">
        <v>25</v>
      </c>
      <c r="G36" s="114" t="s">
        <v>36</v>
      </c>
      <c r="H36" s="114" t="s">
        <v>68</v>
      </c>
      <c r="I36" s="114" t="s">
        <v>25</v>
      </c>
      <c r="J36" s="114">
        <v>212.81</v>
      </c>
      <c r="K36" s="114">
        <v>204.05</v>
      </c>
      <c r="L36" s="114">
        <v>0</v>
      </c>
      <c r="M36" s="114">
        <v>0.72999429939780602</v>
      </c>
      <c r="N36" s="114">
        <v>0</v>
      </c>
      <c r="O36" s="114">
        <v>0</v>
      </c>
      <c r="P36" s="114">
        <v>0</v>
      </c>
      <c r="Q36" s="114">
        <v>77.321520999741097</v>
      </c>
      <c r="R36" s="114">
        <v>12.1901426795744</v>
      </c>
      <c r="S36" s="114">
        <v>0</v>
      </c>
      <c r="T36" s="114">
        <v>0</v>
      </c>
      <c r="U36" s="114">
        <v>0</v>
      </c>
      <c r="V36" s="114">
        <v>0</v>
      </c>
      <c r="W36" s="114">
        <v>0</v>
      </c>
      <c r="X36" s="114">
        <v>54.970924709653701</v>
      </c>
      <c r="Y36" s="114">
        <v>0</v>
      </c>
      <c r="Z36" s="114">
        <v>0</v>
      </c>
      <c r="AA36" s="114">
        <v>50.920491094360102</v>
      </c>
      <c r="AB36" s="114">
        <v>0</v>
      </c>
      <c r="AC36" s="114">
        <v>0</v>
      </c>
      <c r="AD36" s="114">
        <v>0</v>
      </c>
      <c r="AE36" s="114">
        <v>16.681362841431302</v>
      </c>
      <c r="AF36" s="114">
        <v>0</v>
      </c>
      <c r="AG36" s="114">
        <v>0</v>
      </c>
      <c r="AH36" s="114">
        <v>0</v>
      </c>
      <c r="AI36" s="114">
        <v>0</v>
      </c>
      <c r="AJ36" s="114">
        <v>0</v>
      </c>
      <c r="AK36" s="114">
        <v>0</v>
      </c>
      <c r="AL36" s="114">
        <v>14.7196285167628</v>
      </c>
      <c r="AM36" s="114">
        <v>0</v>
      </c>
      <c r="AN36" s="114">
        <v>189.32910852180399</v>
      </c>
      <c r="AO36" s="114">
        <v>0</v>
      </c>
      <c r="AP36" s="114">
        <v>0</v>
      </c>
      <c r="AQ36" s="114">
        <v>0</v>
      </c>
      <c r="AR36" s="114">
        <v>0</v>
      </c>
      <c r="AS36" s="114">
        <v>0</v>
      </c>
      <c r="AT36" s="115">
        <v>0</v>
      </c>
    </row>
    <row r="37" spans="2:46" ht="12" customHeight="1" x14ac:dyDescent="0.3">
      <c r="B37" s="113" t="s">
        <v>39</v>
      </c>
      <c r="C37" s="114" t="s">
        <v>23</v>
      </c>
      <c r="D37" s="114" t="s">
        <v>40</v>
      </c>
      <c r="E37" s="114" t="s">
        <v>85</v>
      </c>
      <c r="F37" s="114" t="s">
        <v>25</v>
      </c>
      <c r="G37" s="114" t="s">
        <v>25</v>
      </c>
      <c r="H37" s="114" t="s">
        <v>68</v>
      </c>
      <c r="I37" s="114" t="s">
        <v>25</v>
      </c>
      <c r="J37" s="114">
        <v>292.69</v>
      </c>
      <c r="K37" s="114">
        <v>208.48</v>
      </c>
      <c r="L37" s="114">
        <v>0</v>
      </c>
      <c r="M37" s="114">
        <v>0.74586374068906303</v>
      </c>
      <c r="N37" s="114">
        <v>0</v>
      </c>
      <c r="O37" s="114">
        <v>0</v>
      </c>
      <c r="P37" s="114">
        <v>0</v>
      </c>
      <c r="Q37" s="114">
        <v>79.002423630170298</v>
      </c>
      <c r="R37" s="114">
        <v>12.455145781304299</v>
      </c>
      <c r="S37" s="114">
        <v>0</v>
      </c>
      <c r="T37" s="114">
        <v>0</v>
      </c>
      <c r="U37" s="114">
        <v>0</v>
      </c>
      <c r="V37" s="114">
        <v>0</v>
      </c>
      <c r="W37" s="114">
        <v>0</v>
      </c>
      <c r="X37" s="114">
        <v>95.256331496620703</v>
      </c>
      <c r="Y37" s="114">
        <v>0</v>
      </c>
      <c r="Z37" s="114">
        <v>0</v>
      </c>
      <c r="AA37" s="114">
        <v>88.182156594917004</v>
      </c>
      <c r="AB37" s="114">
        <v>0</v>
      </c>
      <c r="AC37" s="114">
        <v>0</v>
      </c>
      <c r="AD37" s="114">
        <v>0</v>
      </c>
      <c r="AE37" s="114">
        <v>17.044001164071101</v>
      </c>
      <c r="AF37" s="114">
        <v>0</v>
      </c>
      <c r="AG37" s="114">
        <v>0</v>
      </c>
      <c r="AH37" s="114">
        <v>0</v>
      </c>
      <c r="AI37" s="114">
        <v>0</v>
      </c>
      <c r="AJ37" s="114">
        <v>0</v>
      </c>
      <c r="AK37" s="114">
        <v>0</v>
      </c>
      <c r="AL37" s="114">
        <v>15.039620441040199</v>
      </c>
      <c r="AM37" s="114">
        <v>0</v>
      </c>
      <c r="AN37" s="114">
        <v>193.44495870706101</v>
      </c>
      <c r="AO37" s="114">
        <v>0</v>
      </c>
      <c r="AP37" s="114">
        <v>0</v>
      </c>
      <c r="AQ37" s="114">
        <v>0</v>
      </c>
      <c r="AR37" s="114">
        <v>0</v>
      </c>
      <c r="AS37" s="114">
        <v>0</v>
      </c>
      <c r="AT37" s="115">
        <v>0</v>
      </c>
    </row>
    <row r="38" spans="2:46" ht="12" customHeight="1" x14ac:dyDescent="0.3">
      <c r="B38" s="113" t="s">
        <v>39</v>
      </c>
      <c r="C38" s="114" t="s">
        <v>23</v>
      </c>
      <c r="D38" s="114" t="s">
        <v>40</v>
      </c>
      <c r="E38" s="114" t="s">
        <v>25</v>
      </c>
      <c r="F38" s="114" t="s">
        <v>25</v>
      </c>
      <c r="G38" s="114" t="s">
        <v>25</v>
      </c>
      <c r="H38" s="114" t="s">
        <v>68</v>
      </c>
      <c r="I38" s="114" t="s">
        <v>25</v>
      </c>
      <c r="J38" s="114">
        <v>292.69</v>
      </c>
      <c r="K38" s="114">
        <v>208.48</v>
      </c>
      <c r="L38" s="114">
        <v>0</v>
      </c>
      <c r="M38" s="114">
        <v>0.74586374068906303</v>
      </c>
      <c r="N38" s="114">
        <v>0</v>
      </c>
      <c r="O38" s="114">
        <v>0</v>
      </c>
      <c r="P38" s="114">
        <v>0</v>
      </c>
      <c r="Q38" s="114">
        <v>79.002423630170298</v>
      </c>
      <c r="R38" s="114">
        <v>12.455145781304299</v>
      </c>
      <c r="S38" s="114">
        <v>0</v>
      </c>
      <c r="T38" s="114">
        <v>0</v>
      </c>
      <c r="U38" s="114">
        <v>0</v>
      </c>
      <c r="V38" s="114">
        <v>0</v>
      </c>
      <c r="W38" s="114">
        <v>0</v>
      </c>
      <c r="X38" s="114">
        <v>95.256331496620703</v>
      </c>
      <c r="Y38" s="114">
        <v>0</v>
      </c>
      <c r="Z38" s="114">
        <v>0</v>
      </c>
      <c r="AA38" s="114">
        <v>88.182156594917004</v>
      </c>
      <c r="AB38" s="114">
        <v>0</v>
      </c>
      <c r="AC38" s="114">
        <v>0</v>
      </c>
      <c r="AD38" s="114">
        <v>0</v>
      </c>
      <c r="AE38" s="114">
        <v>17.044001164071101</v>
      </c>
      <c r="AF38" s="114">
        <v>0</v>
      </c>
      <c r="AG38" s="114">
        <v>0</v>
      </c>
      <c r="AH38" s="114">
        <v>0</v>
      </c>
      <c r="AI38" s="114">
        <v>0</v>
      </c>
      <c r="AJ38" s="114">
        <v>0</v>
      </c>
      <c r="AK38" s="114">
        <v>0</v>
      </c>
      <c r="AL38" s="114">
        <v>15.039620441040199</v>
      </c>
      <c r="AM38" s="114">
        <v>0</v>
      </c>
      <c r="AN38" s="114">
        <v>193.44495870706101</v>
      </c>
      <c r="AO38" s="114">
        <v>0</v>
      </c>
      <c r="AP38" s="114">
        <v>0</v>
      </c>
      <c r="AQ38" s="114">
        <v>0</v>
      </c>
      <c r="AR38" s="114">
        <v>0</v>
      </c>
      <c r="AS38" s="114">
        <v>0</v>
      </c>
      <c r="AT38" s="115">
        <v>0</v>
      </c>
    </row>
    <row r="39" spans="2:46" ht="12" customHeight="1" x14ac:dyDescent="0.3">
      <c r="B39" s="113" t="s">
        <v>39</v>
      </c>
      <c r="C39" s="114" t="s">
        <v>23</v>
      </c>
      <c r="D39" s="114" t="s">
        <v>40</v>
      </c>
      <c r="E39" s="114" t="s">
        <v>86</v>
      </c>
      <c r="F39" s="114" t="s">
        <v>25</v>
      </c>
      <c r="G39" s="114" t="s">
        <v>25</v>
      </c>
      <c r="H39" s="114" t="s">
        <v>68</v>
      </c>
      <c r="I39" s="114" t="s">
        <v>25</v>
      </c>
      <c r="J39" s="114">
        <v>286.45999999999998</v>
      </c>
      <c r="K39" s="114">
        <v>204.05</v>
      </c>
      <c r="L39" s="114">
        <v>0</v>
      </c>
      <c r="M39" s="114">
        <v>0.72999429939780602</v>
      </c>
      <c r="N39" s="114">
        <v>0</v>
      </c>
      <c r="O39" s="114">
        <v>0</v>
      </c>
      <c r="P39" s="114">
        <v>0</v>
      </c>
      <c r="Q39" s="114">
        <v>77.321520999741097</v>
      </c>
      <c r="R39" s="114">
        <v>12.1901426795744</v>
      </c>
      <c r="S39" s="114">
        <v>0</v>
      </c>
      <c r="T39" s="114">
        <v>0</v>
      </c>
      <c r="U39" s="114">
        <v>0</v>
      </c>
      <c r="V39" s="114">
        <v>0</v>
      </c>
      <c r="W39" s="114">
        <v>0</v>
      </c>
      <c r="X39" s="114">
        <v>93.229601039245793</v>
      </c>
      <c r="Y39" s="114">
        <v>0</v>
      </c>
      <c r="Z39" s="114">
        <v>0</v>
      </c>
      <c r="AA39" s="114">
        <v>86.305940497152804</v>
      </c>
      <c r="AB39" s="114">
        <v>0</v>
      </c>
      <c r="AC39" s="114">
        <v>0</v>
      </c>
      <c r="AD39" s="114">
        <v>0</v>
      </c>
      <c r="AE39" s="114">
        <v>16.681362841431302</v>
      </c>
      <c r="AF39" s="114">
        <v>0</v>
      </c>
      <c r="AG39" s="114">
        <v>0</v>
      </c>
      <c r="AH39" s="114">
        <v>0</v>
      </c>
      <c r="AI39" s="114">
        <v>0</v>
      </c>
      <c r="AJ39" s="114">
        <v>0</v>
      </c>
      <c r="AK39" s="114">
        <v>0</v>
      </c>
      <c r="AL39" s="114">
        <v>14.7196285167628</v>
      </c>
      <c r="AM39" s="114">
        <v>0</v>
      </c>
      <c r="AN39" s="114">
        <v>189.32910852180399</v>
      </c>
      <c r="AO39" s="114">
        <v>0</v>
      </c>
      <c r="AP39" s="114">
        <v>0</v>
      </c>
      <c r="AQ39" s="114">
        <v>0</v>
      </c>
      <c r="AR39" s="114">
        <v>0</v>
      </c>
      <c r="AS39" s="114">
        <v>0</v>
      </c>
      <c r="AT39" s="115">
        <v>0</v>
      </c>
    </row>
    <row r="40" spans="2:46" ht="12" customHeight="1" x14ac:dyDescent="0.3">
      <c r="B40" s="113" t="s">
        <v>39</v>
      </c>
      <c r="C40" s="114" t="s">
        <v>84</v>
      </c>
      <c r="D40" s="114" t="s">
        <v>40</v>
      </c>
      <c r="E40" s="114" t="s">
        <v>85</v>
      </c>
      <c r="F40" s="114" t="s">
        <v>25</v>
      </c>
      <c r="G40" s="114" t="s">
        <v>25</v>
      </c>
      <c r="H40" s="114" t="s">
        <v>68</v>
      </c>
      <c r="I40" s="114" t="s">
        <v>25</v>
      </c>
      <c r="J40" s="114">
        <v>292.69</v>
      </c>
      <c r="K40" s="114">
        <v>208.48</v>
      </c>
      <c r="L40" s="114">
        <v>0</v>
      </c>
      <c r="M40" s="114">
        <v>0.74586374068906303</v>
      </c>
      <c r="N40" s="114">
        <v>0</v>
      </c>
      <c r="O40" s="114">
        <v>0</v>
      </c>
      <c r="P40" s="114">
        <v>0</v>
      </c>
      <c r="Q40" s="114">
        <v>79.002423630170298</v>
      </c>
      <c r="R40" s="114">
        <v>12.455145781304299</v>
      </c>
      <c r="S40" s="114">
        <v>0</v>
      </c>
      <c r="T40" s="114">
        <v>0</v>
      </c>
      <c r="U40" s="114">
        <v>0</v>
      </c>
      <c r="V40" s="114">
        <v>0</v>
      </c>
      <c r="W40" s="114">
        <v>0</v>
      </c>
      <c r="X40" s="114">
        <v>95.256331496620703</v>
      </c>
      <c r="Y40" s="114">
        <v>0</v>
      </c>
      <c r="Z40" s="114">
        <v>0</v>
      </c>
      <c r="AA40" s="114">
        <v>88.182156594917004</v>
      </c>
      <c r="AB40" s="114">
        <v>0</v>
      </c>
      <c r="AC40" s="114">
        <v>0</v>
      </c>
      <c r="AD40" s="114">
        <v>0</v>
      </c>
      <c r="AE40" s="114">
        <v>17.044001164071101</v>
      </c>
      <c r="AF40" s="114">
        <v>0</v>
      </c>
      <c r="AG40" s="114">
        <v>0</v>
      </c>
      <c r="AH40" s="114">
        <v>0</v>
      </c>
      <c r="AI40" s="114">
        <v>0</v>
      </c>
      <c r="AJ40" s="114">
        <v>0</v>
      </c>
      <c r="AK40" s="114">
        <v>0</v>
      </c>
      <c r="AL40" s="114">
        <v>15.039620441040199</v>
      </c>
      <c r="AM40" s="114">
        <v>0</v>
      </c>
      <c r="AN40" s="114">
        <v>193.44495870706101</v>
      </c>
      <c r="AO40" s="114">
        <v>0</v>
      </c>
      <c r="AP40" s="114">
        <v>0</v>
      </c>
      <c r="AQ40" s="114">
        <v>0</v>
      </c>
      <c r="AR40" s="114">
        <v>0</v>
      </c>
      <c r="AS40" s="114">
        <v>0</v>
      </c>
      <c r="AT40" s="115">
        <v>0</v>
      </c>
    </row>
    <row r="41" spans="2:46" ht="12" customHeight="1" x14ac:dyDescent="0.3">
      <c r="B41" s="113" t="s">
        <v>39</v>
      </c>
      <c r="C41" s="114" t="s">
        <v>84</v>
      </c>
      <c r="D41" s="114" t="s">
        <v>40</v>
      </c>
      <c r="E41" s="114" t="s">
        <v>25</v>
      </c>
      <c r="F41" s="114" t="s">
        <v>25</v>
      </c>
      <c r="G41" s="114" t="s">
        <v>25</v>
      </c>
      <c r="H41" s="114" t="s">
        <v>68</v>
      </c>
      <c r="I41" s="114" t="s">
        <v>25</v>
      </c>
      <c r="J41" s="114">
        <v>292.69</v>
      </c>
      <c r="K41" s="114">
        <v>208.48</v>
      </c>
      <c r="L41" s="114">
        <v>0</v>
      </c>
      <c r="M41" s="114">
        <v>0.74586374068906303</v>
      </c>
      <c r="N41" s="114">
        <v>0</v>
      </c>
      <c r="O41" s="114">
        <v>0</v>
      </c>
      <c r="P41" s="114">
        <v>0</v>
      </c>
      <c r="Q41" s="114">
        <v>79.002423630170298</v>
      </c>
      <c r="R41" s="114">
        <v>12.455145781304299</v>
      </c>
      <c r="S41" s="114">
        <v>0</v>
      </c>
      <c r="T41" s="114">
        <v>0</v>
      </c>
      <c r="U41" s="114">
        <v>0</v>
      </c>
      <c r="V41" s="114">
        <v>0</v>
      </c>
      <c r="W41" s="114">
        <v>0</v>
      </c>
      <c r="X41" s="114">
        <v>95.256331496620703</v>
      </c>
      <c r="Y41" s="114">
        <v>0</v>
      </c>
      <c r="Z41" s="114">
        <v>0</v>
      </c>
      <c r="AA41" s="114">
        <v>88.182156594917004</v>
      </c>
      <c r="AB41" s="114">
        <v>0</v>
      </c>
      <c r="AC41" s="114">
        <v>0</v>
      </c>
      <c r="AD41" s="114">
        <v>0</v>
      </c>
      <c r="AE41" s="114">
        <v>17.044001164071101</v>
      </c>
      <c r="AF41" s="114">
        <v>0</v>
      </c>
      <c r="AG41" s="114">
        <v>0</v>
      </c>
      <c r="AH41" s="114">
        <v>0</v>
      </c>
      <c r="AI41" s="114">
        <v>0</v>
      </c>
      <c r="AJ41" s="114">
        <v>0</v>
      </c>
      <c r="AK41" s="114">
        <v>0</v>
      </c>
      <c r="AL41" s="114">
        <v>15.039620441040199</v>
      </c>
      <c r="AM41" s="114">
        <v>0</v>
      </c>
      <c r="AN41" s="114">
        <v>193.44495870706101</v>
      </c>
      <c r="AO41" s="114">
        <v>0</v>
      </c>
      <c r="AP41" s="114">
        <v>0</v>
      </c>
      <c r="AQ41" s="114">
        <v>0</v>
      </c>
      <c r="AR41" s="114">
        <v>0</v>
      </c>
      <c r="AS41" s="114">
        <v>0</v>
      </c>
      <c r="AT41" s="115">
        <v>0</v>
      </c>
    </row>
    <row r="42" spans="2:46" ht="12" customHeight="1" x14ac:dyDescent="0.3">
      <c r="B42" s="113" t="s">
        <v>39</v>
      </c>
      <c r="C42" s="114" t="s">
        <v>84</v>
      </c>
      <c r="D42" s="114" t="s">
        <v>40</v>
      </c>
      <c r="E42" s="114" t="s">
        <v>86</v>
      </c>
      <c r="F42" s="114" t="s">
        <v>25</v>
      </c>
      <c r="G42" s="114" t="s">
        <v>25</v>
      </c>
      <c r="H42" s="114" t="s">
        <v>68</v>
      </c>
      <c r="I42" s="114" t="s">
        <v>25</v>
      </c>
      <c r="J42" s="114">
        <v>286.45999999999998</v>
      </c>
      <c r="K42" s="114">
        <v>204.05</v>
      </c>
      <c r="L42" s="114">
        <v>0</v>
      </c>
      <c r="M42" s="114">
        <v>0.72999429939780602</v>
      </c>
      <c r="N42" s="114">
        <v>0</v>
      </c>
      <c r="O42" s="114">
        <v>0</v>
      </c>
      <c r="P42" s="114">
        <v>0</v>
      </c>
      <c r="Q42" s="114">
        <v>77.321520999741097</v>
      </c>
      <c r="R42" s="114">
        <v>12.1901426795744</v>
      </c>
      <c r="S42" s="114">
        <v>0</v>
      </c>
      <c r="T42" s="114">
        <v>0</v>
      </c>
      <c r="U42" s="114">
        <v>0</v>
      </c>
      <c r="V42" s="114">
        <v>0</v>
      </c>
      <c r="W42" s="114">
        <v>0</v>
      </c>
      <c r="X42" s="114">
        <v>93.229601039245793</v>
      </c>
      <c r="Y42" s="114">
        <v>0</v>
      </c>
      <c r="Z42" s="114">
        <v>0</v>
      </c>
      <c r="AA42" s="114">
        <v>86.305940497152804</v>
      </c>
      <c r="AB42" s="114">
        <v>0</v>
      </c>
      <c r="AC42" s="114">
        <v>0</v>
      </c>
      <c r="AD42" s="114">
        <v>0</v>
      </c>
      <c r="AE42" s="114">
        <v>16.681362841431302</v>
      </c>
      <c r="AF42" s="114">
        <v>0</v>
      </c>
      <c r="AG42" s="114">
        <v>0</v>
      </c>
      <c r="AH42" s="114">
        <v>0</v>
      </c>
      <c r="AI42" s="114">
        <v>0</v>
      </c>
      <c r="AJ42" s="114">
        <v>0</v>
      </c>
      <c r="AK42" s="114">
        <v>0</v>
      </c>
      <c r="AL42" s="114">
        <v>14.7196285167628</v>
      </c>
      <c r="AM42" s="114">
        <v>0</v>
      </c>
      <c r="AN42" s="114">
        <v>189.32910852180399</v>
      </c>
      <c r="AO42" s="114">
        <v>0</v>
      </c>
      <c r="AP42" s="114">
        <v>0</v>
      </c>
      <c r="AQ42" s="114">
        <v>0</v>
      </c>
      <c r="AR42" s="114">
        <v>0</v>
      </c>
      <c r="AS42" s="114">
        <v>0</v>
      </c>
      <c r="AT42" s="115">
        <v>0</v>
      </c>
    </row>
    <row r="43" spans="2:46" ht="12" customHeight="1" x14ac:dyDescent="0.3">
      <c r="B43" s="113" t="s">
        <v>31</v>
      </c>
      <c r="C43" s="114" t="s">
        <v>82</v>
      </c>
      <c r="D43" s="114" t="s">
        <v>25</v>
      </c>
      <c r="E43" s="114" t="s">
        <v>25</v>
      </c>
      <c r="F43" s="114" t="s">
        <v>25</v>
      </c>
      <c r="G43" s="114" t="s">
        <v>35</v>
      </c>
      <c r="H43" s="114" t="s">
        <v>68</v>
      </c>
      <c r="I43" s="114" t="s">
        <v>25</v>
      </c>
      <c r="J43" s="114">
        <v>789.57</v>
      </c>
      <c r="K43" s="114">
        <v>221.79</v>
      </c>
      <c r="L43" s="114">
        <v>0</v>
      </c>
      <c r="M43" s="114">
        <v>0.79347206456283303</v>
      </c>
      <c r="N43" s="114">
        <v>0</v>
      </c>
      <c r="O43" s="114">
        <v>0</v>
      </c>
      <c r="P43" s="114">
        <v>0</v>
      </c>
      <c r="Q43" s="114">
        <v>84.045131521457705</v>
      </c>
      <c r="R43" s="114">
        <v>13.250155086494001</v>
      </c>
      <c r="S43" s="114">
        <v>0</v>
      </c>
      <c r="T43" s="114">
        <v>0</v>
      </c>
      <c r="U43" s="114">
        <v>0</v>
      </c>
      <c r="V43" s="114">
        <v>0</v>
      </c>
      <c r="W43" s="114">
        <v>0</v>
      </c>
      <c r="X43" s="114">
        <v>349.69840120015101</v>
      </c>
      <c r="Y43" s="114">
        <v>0</v>
      </c>
      <c r="Z43" s="114">
        <v>0</v>
      </c>
      <c r="AA43" s="114">
        <v>323.64720186997499</v>
      </c>
      <c r="AB43" s="114">
        <v>0</v>
      </c>
      <c r="AC43" s="114">
        <v>0</v>
      </c>
      <c r="AD43" s="114">
        <v>0</v>
      </c>
      <c r="AE43" s="114">
        <v>18.131916131990501</v>
      </c>
      <c r="AF43" s="114">
        <v>0</v>
      </c>
      <c r="AG43" s="114">
        <v>0</v>
      </c>
      <c r="AH43" s="114">
        <v>0</v>
      </c>
      <c r="AI43" s="114">
        <v>0</v>
      </c>
      <c r="AJ43" s="114">
        <v>0</v>
      </c>
      <c r="AK43" s="114">
        <v>0</v>
      </c>
      <c r="AL43" s="114">
        <v>15.9995962138726</v>
      </c>
      <c r="AM43" s="114">
        <v>0</v>
      </c>
      <c r="AN43" s="114">
        <v>205.79250926283001</v>
      </c>
      <c r="AO43" s="114">
        <v>0</v>
      </c>
      <c r="AP43" s="114">
        <v>0</v>
      </c>
      <c r="AQ43" s="114">
        <v>0</v>
      </c>
      <c r="AR43" s="114">
        <v>0</v>
      </c>
      <c r="AS43" s="114">
        <v>0</v>
      </c>
      <c r="AT43" s="115">
        <v>0</v>
      </c>
    </row>
    <row r="44" spans="2:46" ht="12" customHeight="1" x14ac:dyDescent="0.3">
      <c r="B44" s="113" t="s">
        <v>31</v>
      </c>
      <c r="C44" s="114" t="s">
        <v>82</v>
      </c>
      <c r="D44" s="114" t="s">
        <v>25</v>
      </c>
      <c r="E44" s="114" t="s">
        <v>25</v>
      </c>
      <c r="F44" s="114" t="s">
        <v>25</v>
      </c>
      <c r="G44" s="114" t="s">
        <v>514</v>
      </c>
      <c r="H44" s="114" t="s">
        <v>68</v>
      </c>
      <c r="I44" s="114" t="s">
        <v>25</v>
      </c>
      <c r="J44" s="114">
        <v>520.19000000000005</v>
      </c>
      <c r="K44" s="114">
        <v>221.79</v>
      </c>
      <c r="L44" s="114">
        <v>0</v>
      </c>
      <c r="M44" s="114">
        <v>0.79347206456283303</v>
      </c>
      <c r="N44" s="114">
        <v>0</v>
      </c>
      <c r="O44" s="114">
        <v>0</v>
      </c>
      <c r="P44" s="114">
        <v>0</v>
      </c>
      <c r="Q44" s="114">
        <v>84.045131521457705</v>
      </c>
      <c r="R44" s="114">
        <v>13.250155086494001</v>
      </c>
      <c r="S44" s="114">
        <v>0</v>
      </c>
      <c r="T44" s="114">
        <v>0</v>
      </c>
      <c r="U44" s="114">
        <v>0</v>
      </c>
      <c r="V44" s="114">
        <v>0</v>
      </c>
      <c r="W44" s="114">
        <v>0</v>
      </c>
      <c r="X44" s="114">
        <v>209.77901484531699</v>
      </c>
      <c r="Y44" s="114">
        <v>0</v>
      </c>
      <c r="Z44" s="114">
        <v>0</v>
      </c>
      <c r="AA44" s="114">
        <v>194.18830237339799</v>
      </c>
      <c r="AB44" s="114">
        <v>0</v>
      </c>
      <c r="AC44" s="114">
        <v>0</v>
      </c>
      <c r="AD44" s="114">
        <v>0</v>
      </c>
      <c r="AE44" s="114">
        <v>18.131916131990501</v>
      </c>
      <c r="AF44" s="114">
        <v>0</v>
      </c>
      <c r="AG44" s="114">
        <v>0</v>
      </c>
      <c r="AH44" s="114">
        <v>0</v>
      </c>
      <c r="AI44" s="114">
        <v>0</v>
      </c>
      <c r="AJ44" s="114">
        <v>0</v>
      </c>
      <c r="AK44" s="114">
        <v>0</v>
      </c>
      <c r="AL44" s="114">
        <v>15.9995962138726</v>
      </c>
      <c r="AM44" s="114">
        <v>0</v>
      </c>
      <c r="AN44" s="114">
        <v>205.79250926283001</v>
      </c>
      <c r="AO44" s="114">
        <v>0</v>
      </c>
      <c r="AP44" s="114">
        <v>0</v>
      </c>
      <c r="AQ44" s="114">
        <v>0</v>
      </c>
      <c r="AR44" s="114">
        <v>0</v>
      </c>
      <c r="AS44" s="114">
        <v>0</v>
      </c>
      <c r="AT44" s="115">
        <v>0</v>
      </c>
    </row>
    <row r="45" spans="2:46" ht="12" customHeight="1" x14ac:dyDescent="0.3">
      <c r="B45" s="113" t="s">
        <v>31</v>
      </c>
      <c r="C45" s="114" t="s">
        <v>82</v>
      </c>
      <c r="D45" s="114" t="s">
        <v>25</v>
      </c>
      <c r="E45" s="114" t="s">
        <v>25</v>
      </c>
      <c r="F45" s="114" t="s">
        <v>25</v>
      </c>
      <c r="G45" s="114" t="s">
        <v>36</v>
      </c>
      <c r="H45" s="114" t="s">
        <v>68</v>
      </c>
      <c r="I45" s="114" t="s">
        <v>25</v>
      </c>
      <c r="J45" s="114">
        <v>250.86</v>
      </c>
      <c r="K45" s="114">
        <v>221.79</v>
      </c>
      <c r="L45" s="114">
        <v>0</v>
      </c>
      <c r="M45" s="114">
        <v>0.79347206456283303</v>
      </c>
      <c r="N45" s="114">
        <v>0</v>
      </c>
      <c r="O45" s="114">
        <v>0</v>
      </c>
      <c r="P45" s="114">
        <v>0</v>
      </c>
      <c r="Q45" s="114">
        <v>84.045131521457705</v>
      </c>
      <c r="R45" s="114">
        <v>13.250155086494001</v>
      </c>
      <c r="S45" s="114">
        <v>0</v>
      </c>
      <c r="T45" s="114">
        <v>0</v>
      </c>
      <c r="U45" s="114">
        <v>0</v>
      </c>
      <c r="V45" s="114">
        <v>0</v>
      </c>
      <c r="W45" s="114">
        <v>0</v>
      </c>
      <c r="X45" s="114">
        <v>69.909584370867705</v>
      </c>
      <c r="Y45" s="114">
        <v>0</v>
      </c>
      <c r="Z45" s="114">
        <v>0</v>
      </c>
      <c r="AA45" s="114">
        <v>64.729496619756006</v>
      </c>
      <c r="AB45" s="114">
        <v>0</v>
      </c>
      <c r="AC45" s="114">
        <v>0</v>
      </c>
      <c r="AD45" s="114">
        <v>0</v>
      </c>
      <c r="AE45" s="114">
        <v>18.131916131990501</v>
      </c>
      <c r="AF45" s="114">
        <v>0</v>
      </c>
      <c r="AG45" s="114">
        <v>0</v>
      </c>
      <c r="AH45" s="114">
        <v>0</v>
      </c>
      <c r="AI45" s="114">
        <v>0</v>
      </c>
      <c r="AJ45" s="114">
        <v>0</v>
      </c>
      <c r="AK45" s="114">
        <v>0</v>
      </c>
      <c r="AL45" s="114">
        <v>15.9995962138726</v>
      </c>
      <c r="AM45" s="114">
        <v>0</v>
      </c>
      <c r="AN45" s="114">
        <v>205.79250926283001</v>
      </c>
      <c r="AO45" s="114">
        <v>0</v>
      </c>
      <c r="AP45" s="114">
        <v>0</v>
      </c>
      <c r="AQ45" s="114">
        <v>0</v>
      </c>
      <c r="AR45" s="114">
        <v>0</v>
      </c>
      <c r="AS45" s="114">
        <v>0</v>
      </c>
      <c r="AT45" s="115">
        <v>0</v>
      </c>
    </row>
    <row r="46" spans="2:46" ht="12" customHeight="1" x14ac:dyDescent="0.3">
      <c r="B46" s="113" t="s">
        <v>31</v>
      </c>
      <c r="C46" s="114" t="s">
        <v>23</v>
      </c>
      <c r="D46" s="114" t="s">
        <v>25</v>
      </c>
      <c r="E46" s="114" t="s">
        <v>25</v>
      </c>
      <c r="F46" s="114" t="s">
        <v>25</v>
      </c>
      <c r="G46" s="114" t="s">
        <v>25</v>
      </c>
      <c r="H46" s="114" t="s">
        <v>68</v>
      </c>
      <c r="I46" s="114" t="s">
        <v>25</v>
      </c>
      <c r="J46" s="114">
        <v>311.37</v>
      </c>
      <c r="K46" s="114">
        <v>221.79</v>
      </c>
      <c r="L46" s="114">
        <v>0</v>
      </c>
      <c r="M46" s="114">
        <v>0.79347206456283303</v>
      </c>
      <c r="N46" s="114">
        <v>0</v>
      </c>
      <c r="O46" s="114">
        <v>0</v>
      </c>
      <c r="P46" s="114">
        <v>0</v>
      </c>
      <c r="Q46" s="114">
        <v>84.045131521457705</v>
      </c>
      <c r="R46" s="114">
        <v>13.250155086494001</v>
      </c>
      <c r="S46" s="114">
        <v>0</v>
      </c>
      <c r="T46" s="114">
        <v>0</v>
      </c>
      <c r="U46" s="114">
        <v>0</v>
      </c>
      <c r="V46" s="114">
        <v>0</v>
      </c>
      <c r="W46" s="114">
        <v>0</v>
      </c>
      <c r="X46" s="114">
        <v>101.33652286874501</v>
      </c>
      <c r="Y46" s="114">
        <v>0</v>
      </c>
      <c r="Z46" s="114">
        <v>0</v>
      </c>
      <c r="AA46" s="114">
        <v>93.810804888209603</v>
      </c>
      <c r="AB46" s="114">
        <v>0</v>
      </c>
      <c r="AC46" s="114">
        <v>0</v>
      </c>
      <c r="AD46" s="114">
        <v>0</v>
      </c>
      <c r="AE46" s="114">
        <v>18.131916131990501</v>
      </c>
      <c r="AF46" s="114">
        <v>0</v>
      </c>
      <c r="AG46" s="114">
        <v>0</v>
      </c>
      <c r="AH46" s="114">
        <v>0</v>
      </c>
      <c r="AI46" s="114">
        <v>0</v>
      </c>
      <c r="AJ46" s="114">
        <v>0</v>
      </c>
      <c r="AK46" s="114">
        <v>0</v>
      </c>
      <c r="AL46" s="114">
        <v>15.9995962138726</v>
      </c>
      <c r="AM46" s="114">
        <v>0</v>
      </c>
      <c r="AN46" s="114">
        <v>205.79250926283001</v>
      </c>
      <c r="AO46" s="114">
        <v>0</v>
      </c>
      <c r="AP46" s="114">
        <v>0</v>
      </c>
      <c r="AQ46" s="114">
        <v>0</v>
      </c>
      <c r="AR46" s="114">
        <v>0</v>
      </c>
      <c r="AS46" s="114">
        <v>0</v>
      </c>
      <c r="AT46" s="115">
        <v>0</v>
      </c>
    </row>
    <row r="47" spans="2:46" ht="12" customHeight="1" x14ac:dyDescent="0.3">
      <c r="B47" s="113" t="s">
        <v>31</v>
      </c>
      <c r="C47" s="114" t="s">
        <v>84</v>
      </c>
      <c r="D47" s="114" t="s">
        <v>25</v>
      </c>
      <c r="E47" s="114" t="s">
        <v>25</v>
      </c>
      <c r="F47" s="114" t="s">
        <v>25</v>
      </c>
      <c r="G47" s="114" t="s">
        <v>25</v>
      </c>
      <c r="H47" s="114" t="s">
        <v>68</v>
      </c>
      <c r="I47" s="114" t="s">
        <v>25</v>
      </c>
      <c r="J47" s="114">
        <v>311.37</v>
      </c>
      <c r="K47" s="114">
        <v>221.79</v>
      </c>
      <c r="L47" s="114">
        <v>0</v>
      </c>
      <c r="M47" s="114">
        <v>0.79347206456283303</v>
      </c>
      <c r="N47" s="114">
        <v>0</v>
      </c>
      <c r="O47" s="114">
        <v>0</v>
      </c>
      <c r="P47" s="114">
        <v>0</v>
      </c>
      <c r="Q47" s="114">
        <v>84.045131521457705</v>
      </c>
      <c r="R47" s="114">
        <v>13.250155086494001</v>
      </c>
      <c r="S47" s="114">
        <v>0</v>
      </c>
      <c r="T47" s="114">
        <v>0</v>
      </c>
      <c r="U47" s="114">
        <v>0</v>
      </c>
      <c r="V47" s="114">
        <v>0</v>
      </c>
      <c r="W47" s="114">
        <v>0</v>
      </c>
      <c r="X47" s="114">
        <v>101.33652286874501</v>
      </c>
      <c r="Y47" s="114">
        <v>0</v>
      </c>
      <c r="Z47" s="114">
        <v>0</v>
      </c>
      <c r="AA47" s="114">
        <v>93.810804888209603</v>
      </c>
      <c r="AB47" s="114">
        <v>0</v>
      </c>
      <c r="AC47" s="114">
        <v>0</v>
      </c>
      <c r="AD47" s="114">
        <v>0</v>
      </c>
      <c r="AE47" s="114">
        <v>18.131916131990501</v>
      </c>
      <c r="AF47" s="114">
        <v>0</v>
      </c>
      <c r="AG47" s="114">
        <v>0</v>
      </c>
      <c r="AH47" s="114">
        <v>0</v>
      </c>
      <c r="AI47" s="114">
        <v>0</v>
      </c>
      <c r="AJ47" s="114">
        <v>0</v>
      </c>
      <c r="AK47" s="114">
        <v>0</v>
      </c>
      <c r="AL47" s="114">
        <v>15.9995962138726</v>
      </c>
      <c r="AM47" s="114">
        <v>0</v>
      </c>
      <c r="AN47" s="114">
        <v>205.79250926283001</v>
      </c>
      <c r="AO47" s="114">
        <v>0</v>
      </c>
      <c r="AP47" s="114">
        <v>0</v>
      </c>
      <c r="AQ47" s="114">
        <v>0</v>
      </c>
      <c r="AR47" s="114">
        <v>0</v>
      </c>
      <c r="AS47" s="114">
        <v>0</v>
      </c>
      <c r="AT47" s="115">
        <v>0</v>
      </c>
    </row>
    <row r="48" spans="2:46" ht="12" customHeight="1" x14ac:dyDescent="0.3">
      <c r="B48" s="113" t="s">
        <v>43</v>
      </c>
      <c r="C48" s="114" t="s">
        <v>23</v>
      </c>
      <c r="D48" s="114" t="s">
        <v>44</v>
      </c>
      <c r="E48" s="114" t="s">
        <v>45</v>
      </c>
      <c r="F48" s="114" t="s">
        <v>25</v>
      </c>
      <c r="G48" s="114" t="s">
        <v>25</v>
      </c>
      <c r="H48" s="114" t="s">
        <v>68</v>
      </c>
      <c r="I48" s="114" t="s">
        <v>25</v>
      </c>
      <c r="J48" s="114">
        <v>171.25</v>
      </c>
      <c r="K48" s="114">
        <v>121.99</v>
      </c>
      <c r="L48" s="114">
        <v>0</v>
      </c>
      <c r="M48" s="114">
        <v>0.43640963550955802</v>
      </c>
      <c r="N48" s="114">
        <v>0</v>
      </c>
      <c r="O48" s="114">
        <v>0</v>
      </c>
      <c r="P48" s="114">
        <v>0</v>
      </c>
      <c r="Q48" s="114">
        <v>46.2248223368018</v>
      </c>
      <c r="R48" s="114">
        <v>7.2875852975716802</v>
      </c>
      <c r="S48" s="114">
        <v>0</v>
      </c>
      <c r="T48" s="114">
        <v>0</v>
      </c>
      <c r="U48" s="114">
        <v>0</v>
      </c>
      <c r="V48" s="114">
        <v>0</v>
      </c>
      <c r="W48" s="114">
        <v>0</v>
      </c>
      <c r="X48" s="114">
        <v>55.735087577809999</v>
      </c>
      <c r="Y48" s="114">
        <v>0</v>
      </c>
      <c r="Z48" s="114">
        <v>0</v>
      </c>
      <c r="AA48" s="114">
        <v>51.595942688515301</v>
      </c>
      <c r="AB48" s="114">
        <v>0</v>
      </c>
      <c r="AC48" s="114">
        <v>0</v>
      </c>
      <c r="AD48" s="114">
        <v>0</v>
      </c>
      <c r="AE48" s="114">
        <v>9.9725538725947906</v>
      </c>
      <c r="AF48" s="114">
        <v>0</v>
      </c>
      <c r="AG48" s="114">
        <v>0</v>
      </c>
      <c r="AH48" s="114">
        <v>0</v>
      </c>
      <c r="AI48" s="114">
        <v>0</v>
      </c>
      <c r="AJ48" s="114">
        <v>0</v>
      </c>
      <c r="AK48" s="114">
        <v>0</v>
      </c>
      <c r="AL48" s="114">
        <v>8.79977791762993</v>
      </c>
      <c r="AM48" s="114">
        <v>0</v>
      </c>
      <c r="AN48" s="114">
        <v>113.18588009455701</v>
      </c>
      <c r="AO48" s="114">
        <v>0</v>
      </c>
      <c r="AP48" s="114">
        <v>0</v>
      </c>
      <c r="AQ48" s="114">
        <v>0</v>
      </c>
      <c r="AR48" s="114">
        <v>0</v>
      </c>
      <c r="AS48" s="114">
        <v>0</v>
      </c>
      <c r="AT48" s="115">
        <v>0</v>
      </c>
    </row>
    <row r="49" spans="2:46" ht="12" customHeight="1" x14ac:dyDescent="0.3">
      <c r="B49" s="116" t="s">
        <v>43</v>
      </c>
      <c r="C49" s="117" t="s">
        <v>23</v>
      </c>
      <c r="D49" s="117" t="s">
        <v>44</v>
      </c>
      <c r="E49" s="117" t="s">
        <v>87</v>
      </c>
      <c r="F49" s="117" t="s">
        <v>25</v>
      </c>
      <c r="G49" s="117" t="s">
        <v>25</v>
      </c>
      <c r="H49" s="117" t="s">
        <v>68</v>
      </c>
      <c r="I49" s="117" t="s">
        <v>25</v>
      </c>
      <c r="J49" s="117">
        <v>186.82</v>
      </c>
      <c r="K49" s="117">
        <v>133.08000000000001</v>
      </c>
      <c r="L49" s="117">
        <v>0</v>
      </c>
      <c r="M49" s="117">
        <v>0.47608323873769998</v>
      </c>
      <c r="N49" s="117">
        <v>0</v>
      </c>
      <c r="O49" s="117">
        <v>0</v>
      </c>
      <c r="P49" s="117">
        <v>0</v>
      </c>
      <c r="Q49" s="117">
        <v>50.427078912874599</v>
      </c>
      <c r="R49" s="117">
        <v>7.9500930518963697</v>
      </c>
      <c r="S49" s="117">
        <v>0</v>
      </c>
      <c r="T49" s="117">
        <v>0</v>
      </c>
      <c r="U49" s="117">
        <v>0</v>
      </c>
      <c r="V49" s="117">
        <v>0</v>
      </c>
      <c r="W49" s="117">
        <v>0</v>
      </c>
      <c r="X49" s="117">
        <v>60.801913721247203</v>
      </c>
      <c r="Y49" s="117">
        <v>0</v>
      </c>
      <c r="Z49" s="117">
        <v>0</v>
      </c>
      <c r="AA49" s="117">
        <v>56.2864829329258</v>
      </c>
      <c r="AB49" s="117">
        <v>0</v>
      </c>
      <c r="AC49" s="117">
        <v>0</v>
      </c>
      <c r="AD49" s="117">
        <v>0</v>
      </c>
      <c r="AE49" s="117">
        <v>10.879149679194301</v>
      </c>
      <c r="AF49" s="117">
        <v>0</v>
      </c>
      <c r="AG49" s="117">
        <v>0</v>
      </c>
      <c r="AH49" s="117">
        <v>0</v>
      </c>
      <c r="AI49" s="117">
        <v>0</v>
      </c>
      <c r="AJ49" s="117">
        <v>0</v>
      </c>
      <c r="AK49" s="117">
        <v>0</v>
      </c>
      <c r="AL49" s="117">
        <v>9.59975772832356</v>
      </c>
      <c r="AM49" s="117">
        <v>0</v>
      </c>
      <c r="AN49" s="117">
        <v>123.475505557698</v>
      </c>
      <c r="AO49" s="117">
        <v>0</v>
      </c>
      <c r="AP49" s="117">
        <v>0</v>
      </c>
      <c r="AQ49" s="117">
        <v>0</v>
      </c>
      <c r="AR49" s="117">
        <v>0</v>
      </c>
      <c r="AS49" s="117">
        <v>0</v>
      </c>
      <c r="AT49" s="118">
        <v>0</v>
      </c>
    </row>
  </sheetData>
  <mergeCells count="7">
    <mergeCell ref="L1:AT1"/>
    <mergeCell ref="L2:S2"/>
    <mergeCell ref="T2:Z2"/>
    <mergeCell ref="AB2:AD2"/>
    <mergeCell ref="AE2:AH2"/>
    <mergeCell ref="AI2:AM2"/>
    <mergeCell ref="AO2:AS2"/>
  </mergeCells>
  <phoneticPr fontId="10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9B61-27D5-474C-8218-945A65B05808}">
  <dimension ref="B1:AT49"/>
  <sheetViews>
    <sheetView showGridLines="0" workbookViewId="0">
      <selection activeCell="B4" sqref="B4"/>
    </sheetView>
  </sheetViews>
  <sheetFormatPr defaultRowHeight="14.4" x14ac:dyDescent="0.3"/>
  <cols>
    <col min="2" max="2" width="12.77734375" bestFit="1" customWidth="1"/>
    <col min="3" max="3" width="25.44140625" bestFit="1" customWidth="1"/>
    <col min="4" max="4" width="16.33203125" bestFit="1" customWidth="1"/>
    <col min="5" max="5" width="28.77734375" bestFit="1" customWidth="1"/>
    <col min="6" max="6" width="11.88671875" bestFit="1" customWidth="1"/>
    <col min="7" max="7" width="12.109375" bestFit="1" customWidth="1"/>
    <col min="8" max="8" width="11.109375" bestFit="1" customWidth="1"/>
    <col min="9" max="9" width="13.109375" bestFit="1" customWidth="1"/>
    <col min="10" max="10" width="12.44140625" bestFit="1" customWidth="1"/>
    <col min="11" max="11" width="9.88671875" bestFit="1" customWidth="1"/>
    <col min="12" max="12" width="18.6640625" bestFit="1" customWidth="1"/>
    <col min="13" max="13" width="13.6640625" bestFit="1" customWidth="1"/>
    <col min="14" max="14" width="12.109375" bestFit="1" customWidth="1"/>
    <col min="15" max="15" width="12.44140625" bestFit="1" customWidth="1"/>
    <col min="16" max="17" width="12.109375" bestFit="1" customWidth="1"/>
    <col min="18" max="18" width="16.44140625" bestFit="1" customWidth="1"/>
    <col min="19" max="19" width="10.44140625" bestFit="1" customWidth="1"/>
    <col min="20" max="20" width="11" bestFit="1" customWidth="1"/>
    <col min="21" max="21" width="10.77734375" bestFit="1" customWidth="1"/>
    <col min="22" max="22" width="12" bestFit="1" customWidth="1"/>
    <col min="23" max="23" width="12.21875" bestFit="1" customWidth="1"/>
    <col min="24" max="24" width="13.44140625" bestFit="1" customWidth="1"/>
    <col min="25" max="25" width="11" bestFit="1" customWidth="1"/>
    <col min="26" max="26" width="13.6640625" bestFit="1" customWidth="1"/>
    <col min="27" max="27" width="12.33203125" bestFit="1" customWidth="1"/>
    <col min="28" max="28" width="15.44140625" bestFit="1" customWidth="1"/>
    <col min="29" max="29" width="24.33203125" bestFit="1" customWidth="1"/>
    <col min="30" max="30" width="13.88671875" bestFit="1" customWidth="1"/>
    <col min="31" max="31" width="12" bestFit="1" customWidth="1"/>
    <col min="32" max="32" width="17.109375" bestFit="1" customWidth="1"/>
    <col min="33" max="33" width="12.21875" bestFit="1" customWidth="1"/>
    <col min="34" max="34" width="10.44140625" bestFit="1" customWidth="1"/>
    <col min="35" max="35" width="16.109375" bestFit="1" customWidth="1"/>
    <col min="36" max="36" width="14.44140625" bestFit="1" customWidth="1"/>
    <col min="37" max="37" width="9.5546875" bestFit="1" customWidth="1"/>
    <col min="38" max="38" width="12.44140625" bestFit="1" customWidth="1"/>
    <col min="39" max="39" width="11.88671875" bestFit="1" customWidth="1"/>
    <col min="40" max="40" width="13.6640625" bestFit="1" customWidth="1"/>
    <col min="41" max="41" width="24.5546875" bestFit="1" customWidth="1"/>
    <col min="42" max="42" width="17.44140625" bestFit="1" customWidth="1"/>
    <col min="43" max="43" width="13.21875" bestFit="1" customWidth="1"/>
    <col min="44" max="44" width="12.77734375" bestFit="1" customWidth="1"/>
    <col min="45" max="45" width="21.6640625" bestFit="1" customWidth="1"/>
    <col min="46" max="46" width="12.21875" bestFit="1" customWidth="1"/>
  </cols>
  <sheetData>
    <row r="1" spans="2:46" ht="12" customHeight="1" x14ac:dyDescent="0.3">
      <c r="L1" s="119" t="s">
        <v>1044</v>
      </c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</row>
    <row r="2" spans="2:46" ht="12" customHeight="1" x14ac:dyDescent="0.3">
      <c r="L2" s="120" t="s">
        <v>368</v>
      </c>
      <c r="M2" s="120"/>
      <c r="N2" s="120"/>
      <c r="O2" s="120"/>
      <c r="P2" s="120"/>
      <c r="Q2" s="120"/>
      <c r="R2" s="120"/>
      <c r="S2" s="121"/>
      <c r="T2" s="120" t="s">
        <v>377</v>
      </c>
      <c r="U2" s="120"/>
      <c r="V2" s="120"/>
      <c r="W2" s="120"/>
      <c r="X2" s="120"/>
      <c r="Y2" s="120"/>
      <c r="Z2" s="121"/>
      <c r="AA2" s="122" t="s">
        <v>385</v>
      </c>
      <c r="AB2" s="120" t="s">
        <v>25</v>
      </c>
      <c r="AC2" s="120"/>
      <c r="AD2" s="121"/>
      <c r="AE2" s="120" t="s">
        <v>1043</v>
      </c>
      <c r="AF2" s="120"/>
      <c r="AG2" s="120"/>
      <c r="AH2" s="121"/>
      <c r="AI2" s="120" t="s">
        <v>368</v>
      </c>
      <c r="AJ2" s="120"/>
      <c r="AK2" s="120"/>
      <c r="AL2" s="120"/>
      <c r="AM2" s="121"/>
      <c r="AN2" s="122" t="s">
        <v>399</v>
      </c>
      <c r="AO2" s="120" t="s">
        <v>377</v>
      </c>
      <c r="AP2" s="120"/>
      <c r="AQ2" s="120"/>
      <c r="AR2" s="120"/>
      <c r="AS2" s="121"/>
      <c r="AT2" s="123" t="s">
        <v>1043</v>
      </c>
    </row>
    <row r="3" spans="2:46" ht="12" customHeight="1" x14ac:dyDescent="0.3">
      <c r="B3" s="110" t="s">
        <v>58</v>
      </c>
      <c r="C3" s="111" t="s">
        <v>59</v>
      </c>
      <c r="D3" s="111" t="s">
        <v>60</v>
      </c>
      <c r="E3" s="111" t="s">
        <v>61</v>
      </c>
      <c r="F3" s="111" t="s">
        <v>62</v>
      </c>
      <c r="G3" s="111" t="s">
        <v>64</v>
      </c>
      <c r="H3" s="111" t="s">
        <v>65</v>
      </c>
      <c r="I3" s="111" t="s">
        <v>646</v>
      </c>
      <c r="J3" s="111" t="s">
        <v>1005</v>
      </c>
      <c r="K3" s="111" t="s">
        <v>1006</v>
      </c>
      <c r="L3" s="111" t="s">
        <v>1007</v>
      </c>
      <c r="M3" s="111" t="s">
        <v>1008</v>
      </c>
      <c r="N3" s="111" t="s">
        <v>1009</v>
      </c>
      <c r="O3" s="111" t="s">
        <v>1010</v>
      </c>
      <c r="P3" s="111" t="s">
        <v>1011</v>
      </c>
      <c r="Q3" s="111" t="s">
        <v>1012</v>
      </c>
      <c r="R3" s="111" t="s">
        <v>1013</v>
      </c>
      <c r="S3" s="111" t="s">
        <v>1014</v>
      </c>
      <c r="T3" s="111" t="s">
        <v>1015</v>
      </c>
      <c r="U3" s="111" t="s">
        <v>1016</v>
      </c>
      <c r="V3" s="111" t="s">
        <v>1017</v>
      </c>
      <c r="W3" s="111" t="s">
        <v>1018</v>
      </c>
      <c r="X3" s="111" t="s">
        <v>1019</v>
      </c>
      <c r="Y3" s="111" t="s">
        <v>1020</v>
      </c>
      <c r="Z3" s="111" t="s">
        <v>1021</v>
      </c>
      <c r="AA3" s="111" t="s">
        <v>1022</v>
      </c>
      <c r="AB3" s="111" t="s">
        <v>1023</v>
      </c>
      <c r="AC3" s="111" t="s">
        <v>1024</v>
      </c>
      <c r="AD3" s="111" t="s">
        <v>1025</v>
      </c>
      <c r="AE3" s="111" t="s">
        <v>1026</v>
      </c>
      <c r="AF3" s="111" t="s">
        <v>1027</v>
      </c>
      <c r="AG3" s="111" t="s">
        <v>1028</v>
      </c>
      <c r="AH3" s="111" t="s">
        <v>1029</v>
      </c>
      <c r="AI3" s="111" t="s">
        <v>1030</v>
      </c>
      <c r="AJ3" s="111" t="s">
        <v>1031</v>
      </c>
      <c r="AK3" s="111" t="s">
        <v>1032</v>
      </c>
      <c r="AL3" s="111" t="s">
        <v>1033</v>
      </c>
      <c r="AM3" s="111" t="s">
        <v>1034</v>
      </c>
      <c r="AN3" s="111" t="s">
        <v>1035</v>
      </c>
      <c r="AO3" s="111" t="s">
        <v>1036</v>
      </c>
      <c r="AP3" s="111" t="s">
        <v>1037</v>
      </c>
      <c r="AQ3" s="111" t="s">
        <v>1038</v>
      </c>
      <c r="AR3" s="111" t="s">
        <v>1039</v>
      </c>
      <c r="AS3" s="111" t="s">
        <v>1040</v>
      </c>
      <c r="AT3" s="112" t="s">
        <v>1041</v>
      </c>
    </row>
    <row r="4" spans="2:46" ht="12" customHeight="1" x14ac:dyDescent="0.3">
      <c r="B4" s="113" t="s">
        <v>33</v>
      </c>
      <c r="C4" s="114" t="s">
        <v>34</v>
      </c>
      <c r="D4" s="114" t="s">
        <v>25</v>
      </c>
      <c r="E4" s="114" t="s">
        <v>25</v>
      </c>
      <c r="F4" s="114" t="s">
        <v>75</v>
      </c>
      <c r="G4" s="114" t="s">
        <v>35</v>
      </c>
      <c r="H4" s="114" t="s">
        <v>68</v>
      </c>
      <c r="I4" s="114" t="s">
        <v>25</v>
      </c>
      <c r="J4" s="114">
        <v>7.16</v>
      </c>
      <c r="K4" s="114">
        <v>0</v>
      </c>
      <c r="L4" s="114">
        <v>0</v>
      </c>
      <c r="M4" s="114">
        <v>0.63238140126241904</v>
      </c>
      <c r="N4" s="114">
        <v>0</v>
      </c>
      <c r="O4" s="114">
        <v>0</v>
      </c>
      <c r="P4" s="114">
        <v>0</v>
      </c>
      <c r="Q4" s="114">
        <v>0</v>
      </c>
      <c r="R4" s="114">
        <v>0</v>
      </c>
      <c r="S4" s="114">
        <v>0</v>
      </c>
      <c r="T4" s="114">
        <v>0</v>
      </c>
      <c r="U4" s="114">
        <v>0</v>
      </c>
      <c r="V4" s="114">
        <v>0</v>
      </c>
      <c r="W4" s="114">
        <v>0</v>
      </c>
      <c r="X4" s="114">
        <v>0</v>
      </c>
      <c r="Y4" s="114">
        <v>0</v>
      </c>
      <c r="Z4" s="114">
        <v>0</v>
      </c>
      <c r="AA4" s="114">
        <v>0</v>
      </c>
      <c r="AB4" s="114">
        <v>0</v>
      </c>
      <c r="AC4" s="114">
        <v>0</v>
      </c>
      <c r="AD4" s="114">
        <v>0</v>
      </c>
      <c r="AE4" s="114">
        <v>6.53217866142682</v>
      </c>
      <c r="AF4" s="114">
        <v>0</v>
      </c>
      <c r="AG4" s="114">
        <v>0</v>
      </c>
      <c r="AH4" s="114">
        <v>0</v>
      </c>
      <c r="AI4" s="114">
        <v>0</v>
      </c>
      <c r="AJ4" s="114">
        <v>0</v>
      </c>
      <c r="AK4" s="114">
        <v>0</v>
      </c>
      <c r="AL4" s="114">
        <v>0</v>
      </c>
      <c r="AM4" s="114">
        <v>0</v>
      </c>
      <c r="AN4" s="114">
        <v>0</v>
      </c>
      <c r="AO4" s="114">
        <v>0</v>
      </c>
      <c r="AP4" s="114">
        <v>0</v>
      </c>
      <c r="AQ4" s="114">
        <v>0</v>
      </c>
      <c r="AR4" s="114">
        <v>0</v>
      </c>
      <c r="AS4" s="114">
        <v>0</v>
      </c>
      <c r="AT4" s="115">
        <v>0</v>
      </c>
    </row>
    <row r="5" spans="2:46" ht="12" customHeight="1" x14ac:dyDescent="0.3">
      <c r="B5" s="113" t="s">
        <v>33</v>
      </c>
      <c r="C5" s="114" t="s">
        <v>34</v>
      </c>
      <c r="D5" s="114" t="s">
        <v>25</v>
      </c>
      <c r="E5" s="114" t="s">
        <v>25</v>
      </c>
      <c r="F5" s="114" t="s">
        <v>75</v>
      </c>
      <c r="G5" s="114" t="s">
        <v>35</v>
      </c>
      <c r="H5" s="114" t="s">
        <v>71</v>
      </c>
      <c r="I5" s="114" t="s">
        <v>25</v>
      </c>
      <c r="J5" s="114">
        <v>77.239999999999995</v>
      </c>
      <c r="K5" s="114">
        <v>0</v>
      </c>
      <c r="L5" s="114">
        <v>0</v>
      </c>
      <c r="M5" s="114">
        <v>0</v>
      </c>
      <c r="N5" s="114">
        <v>0</v>
      </c>
      <c r="O5" s="114">
        <v>0</v>
      </c>
      <c r="P5" s="114">
        <v>0</v>
      </c>
      <c r="Q5" s="114">
        <v>0</v>
      </c>
      <c r="R5" s="114">
        <v>0</v>
      </c>
      <c r="S5" s="114">
        <v>0</v>
      </c>
      <c r="T5" s="114">
        <v>0</v>
      </c>
      <c r="U5" s="114">
        <v>0</v>
      </c>
      <c r="V5" s="114">
        <v>0</v>
      </c>
      <c r="W5" s="114">
        <v>0</v>
      </c>
      <c r="X5" s="114">
        <v>30.5709130781404</v>
      </c>
      <c r="Y5" s="114">
        <v>0</v>
      </c>
      <c r="Z5" s="114">
        <v>0</v>
      </c>
      <c r="AA5" s="114">
        <v>46.667202419335702</v>
      </c>
      <c r="AB5" s="114">
        <v>0</v>
      </c>
      <c r="AC5" s="114">
        <v>0</v>
      </c>
      <c r="AD5" s="114">
        <v>0</v>
      </c>
      <c r="AE5" s="114">
        <v>0</v>
      </c>
      <c r="AF5" s="114">
        <v>0</v>
      </c>
      <c r="AG5" s="114">
        <v>0</v>
      </c>
      <c r="AH5" s="114">
        <v>0</v>
      </c>
      <c r="AI5" s="114">
        <v>0</v>
      </c>
      <c r="AJ5" s="114">
        <v>0</v>
      </c>
      <c r="AK5" s="114">
        <v>0</v>
      </c>
      <c r="AL5" s="114">
        <v>0</v>
      </c>
      <c r="AM5" s="114">
        <v>0</v>
      </c>
      <c r="AN5" s="114">
        <v>0</v>
      </c>
      <c r="AO5" s="114">
        <v>0</v>
      </c>
      <c r="AP5" s="114">
        <v>0</v>
      </c>
      <c r="AQ5" s="114">
        <v>0</v>
      </c>
      <c r="AR5" s="114">
        <v>0</v>
      </c>
      <c r="AS5" s="114">
        <v>0</v>
      </c>
      <c r="AT5" s="115">
        <v>0</v>
      </c>
    </row>
    <row r="6" spans="2:46" ht="12" customHeight="1" x14ac:dyDescent="0.3">
      <c r="B6" s="113" t="s">
        <v>33</v>
      </c>
      <c r="C6" s="114" t="s">
        <v>34</v>
      </c>
      <c r="D6" s="114" t="s">
        <v>25</v>
      </c>
      <c r="E6" s="114" t="s">
        <v>25</v>
      </c>
      <c r="F6" s="114" t="s">
        <v>75</v>
      </c>
      <c r="G6" s="114" t="s">
        <v>36</v>
      </c>
      <c r="H6" s="114" t="s">
        <v>68</v>
      </c>
      <c r="I6" s="114" t="s">
        <v>25</v>
      </c>
      <c r="J6" s="114">
        <v>7.16</v>
      </c>
      <c r="K6" s="114">
        <v>0</v>
      </c>
      <c r="L6" s="114">
        <v>0</v>
      </c>
      <c r="M6" s="114">
        <v>0.63238140126241904</v>
      </c>
      <c r="N6" s="114">
        <v>0</v>
      </c>
      <c r="O6" s="114">
        <v>0</v>
      </c>
      <c r="P6" s="114">
        <v>0</v>
      </c>
      <c r="Q6" s="114">
        <v>0</v>
      </c>
      <c r="R6" s="114">
        <v>0</v>
      </c>
      <c r="S6" s="114">
        <v>0</v>
      </c>
      <c r="T6" s="114">
        <v>0</v>
      </c>
      <c r="U6" s="114">
        <v>0</v>
      </c>
      <c r="V6" s="114">
        <v>0</v>
      </c>
      <c r="W6" s="114">
        <v>0</v>
      </c>
      <c r="X6" s="114">
        <v>0</v>
      </c>
      <c r="Y6" s="114">
        <v>0</v>
      </c>
      <c r="Z6" s="114">
        <v>0</v>
      </c>
      <c r="AA6" s="114">
        <v>0</v>
      </c>
      <c r="AB6" s="114">
        <v>0</v>
      </c>
      <c r="AC6" s="114">
        <v>0</v>
      </c>
      <c r="AD6" s="114">
        <v>0</v>
      </c>
      <c r="AE6" s="114">
        <v>6.53217866142682</v>
      </c>
      <c r="AF6" s="114">
        <v>0</v>
      </c>
      <c r="AG6" s="114">
        <v>0</v>
      </c>
      <c r="AH6" s="114">
        <v>0</v>
      </c>
      <c r="AI6" s="114">
        <v>0</v>
      </c>
      <c r="AJ6" s="114">
        <v>0</v>
      </c>
      <c r="AK6" s="114">
        <v>0</v>
      </c>
      <c r="AL6" s="114">
        <v>0</v>
      </c>
      <c r="AM6" s="114">
        <v>0</v>
      </c>
      <c r="AN6" s="114">
        <v>0</v>
      </c>
      <c r="AO6" s="114">
        <v>0</v>
      </c>
      <c r="AP6" s="114">
        <v>0</v>
      </c>
      <c r="AQ6" s="114">
        <v>0</v>
      </c>
      <c r="AR6" s="114">
        <v>0</v>
      </c>
      <c r="AS6" s="114">
        <v>0</v>
      </c>
      <c r="AT6" s="115">
        <v>0</v>
      </c>
    </row>
    <row r="7" spans="2:46" ht="12" customHeight="1" x14ac:dyDescent="0.3">
      <c r="B7" s="113" t="s">
        <v>33</v>
      </c>
      <c r="C7" s="114" t="s">
        <v>34</v>
      </c>
      <c r="D7" s="114" t="s">
        <v>25</v>
      </c>
      <c r="E7" s="114" t="s">
        <v>25</v>
      </c>
      <c r="F7" s="114" t="s">
        <v>75</v>
      </c>
      <c r="G7" s="114" t="s">
        <v>36</v>
      </c>
      <c r="H7" s="114" t="s">
        <v>71</v>
      </c>
      <c r="I7" s="114" t="s">
        <v>25</v>
      </c>
      <c r="J7" s="114">
        <v>25.4</v>
      </c>
      <c r="K7" s="114">
        <v>0</v>
      </c>
      <c r="L7" s="114">
        <v>0</v>
      </c>
      <c r="M7" s="114">
        <v>0</v>
      </c>
      <c r="N7" s="114">
        <v>0</v>
      </c>
      <c r="O7" s="114">
        <v>0</v>
      </c>
      <c r="P7" s="114">
        <v>0</v>
      </c>
      <c r="Q7" s="114">
        <v>0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12.3564185017919</v>
      </c>
      <c r="Y7" s="114">
        <v>0</v>
      </c>
      <c r="Z7" s="114">
        <v>0</v>
      </c>
      <c r="AA7" s="114">
        <v>13.040468493452201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v>0</v>
      </c>
      <c r="AM7" s="114">
        <v>0</v>
      </c>
      <c r="AN7" s="114">
        <v>0</v>
      </c>
      <c r="AO7" s="114">
        <v>0</v>
      </c>
      <c r="AP7" s="114">
        <v>0</v>
      </c>
      <c r="AQ7" s="114">
        <v>0</v>
      </c>
      <c r="AR7" s="114">
        <v>0</v>
      </c>
      <c r="AS7" s="114">
        <v>0</v>
      </c>
      <c r="AT7" s="115">
        <v>0</v>
      </c>
    </row>
    <row r="8" spans="2:46" ht="12" customHeight="1" x14ac:dyDescent="0.3">
      <c r="B8" s="113" t="s">
        <v>33</v>
      </c>
      <c r="C8" s="114" t="s">
        <v>34</v>
      </c>
      <c r="D8" s="114" t="s">
        <v>25</v>
      </c>
      <c r="E8" s="114" t="s">
        <v>25</v>
      </c>
      <c r="F8" s="114" t="s">
        <v>25</v>
      </c>
      <c r="G8" s="114" t="s">
        <v>35</v>
      </c>
      <c r="H8" s="114" t="s">
        <v>68</v>
      </c>
      <c r="I8" s="114" t="s">
        <v>25</v>
      </c>
      <c r="J8" s="114">
        <v>96.97</v>
      </c>
      <c r="K8" s="114">
        <v>208.02</v>
      </c>
      <c r="L8" s="114">
        <v>0</v>
      </c>
      <c r="M8" s="114">
        <v>0.63238140126241904</v>
      </c>
      <c r="N8" s="114">
        <v>0</v>
      </c>
      <c r="O8" s="114">
        <v>0</v>
      </c>
      <c r="P8" s="114">
        <v>0</v>
      </c>
      <c r="Q8" s="114">
        <v>75.581829550978398</v>
      </c>
      <c r="R8" s="114">
        <v>14.218765878443101</v>
      </c>
      <c r="S8" s="114">
        <v>0</v>
      </c>
      <c r="T8" s="114">
        <v>0</v>
      </c>
      <c r="U8" s="114">
        <v>0</v>
      </c>
      <c r="V8" s="114">
        <v>0</v>
      </c>
      <c r="W8" s="114">
        <v>0</v>
      </c>
      <c r="X8" s="114">
        <v>0</v>
      </c>
      <c r="Y8" s="114">
        <v>0</v>
      </c>
      <c r="Z8" s="114">
        <v>0</v>
      </c>
      <c r="AA8" s="114">
        <v>0</v>
      </c>
      <c r="AB8" s="114">
        <v>0</v>
      </c>
      <c r="AC8" s="114">
        <v>0</v>
      </c>
      <c r="AD8" s="114">
        <v>0</v>
      </c>
      <c r="AE8" s="114">
        <v>6.53217866142682</v>
      </c>
      <c r="AF8" s="114">
        <v>0</v>
      </c>
      <c r="AG8" s="114">
        <v>0</v>
      </c>
      <c r="AH8" s="114">
        <v>0</v>
      </c>
      <c r="AI8" s="114">
        <v>0</v>
      </c>
      <c r="AJ8" s="114">
        <v>0</v>
      </c>
      <c r="AK8" s="114">
        <v>0</v>
      </c>
      <c r="AL8" s="114">
        <v>15.9995962138726</v>
      </c>
      <c r="AM8" s="114">
        <v>0</v>
      </c>
      <c r="AN8" s="114">
        <v>192.021128593539</v>
      </c>
      <c r="AO8" s="114">
        <v>0</v>
      </c>
      <c r="AP8" s="114">
        <v>0</v>
      </c>
      <c r="AQ8" s="114">
        <v>0</v>
      </c>
      <c r="AR8" s="114">
        <v>0</v>
      </c>
      <c r="AS8" s="114">
        <v>0</v>
      </c>
      <c r="AT8" s="115">
        <v>0</v>
      </c>
    </row>
    <row r="9" spans="2:46" ht="12" customHeight="1" x14ac:dyDescent="0.3">
      <c r="B9" s="113" t="s">
        <v>33</v>
      </c>
      <c r="C9" s="114" t="s">
        <v>34</v>
      </c>
      <c r="D9" s="114" t="s">
        <v>25</v>
      </c>
      <c r="E9" s="114" t="s">
        <v>25</v>
      </c>
      <c r="F9" s="114" t="s">
        <v>25</v>
      </c>
      <c r="G9" s="114" t="s">
        <v>35</v>
      </c>
      <c r="H9" s="114" t="s">
        <v>71</v>
      </c>
      <c r="I9" s="114" t="s">
        <v>25</v>
      </c>
      <c r="J9" s="114">
        <v>77.239999999999995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v>0</v>
      </c>
      <c r="X9" s="114">
        <v>30.5709130781404</v>
      </c>
      <c r="Y9" s="114">
        <v>0</v>
      </c>
      <c r="Z9" s="114">
        <v>0</v>
      </c>
      <c r="AA9" s="114">
        <v>46.667202419335702</v>
      </c>
      <c r="AB9" s="114">
        <v>0</v>
      </c>
      <c r="AC9" s="114">
        <v>0</v>
      </c>
      <c r="AD9" s="114">
        <v>0</v>
      </c>
      <c r="AE9" s="114">
        <v>0</v>
      </c>
      <c r="AF9" s="114">
        <v>0</v>
      </c>
      <c r="AG9" s="114">
        <v>0</v>
      </c>
      <c r="AH9" s="114">
        <v>0</v>
      </c>
      <c r="AI9" s="114">
        <v>0</v>
      </c>
      <c r="AJ9" s="114">
        <v>0</v>
      </c>
      <c r="AK9" s="114">
        <v>0</v>
      </c>
      <c r="AL9" s="114">
        <v>0</v>
      </c>
      <c r="AM9" s="114">
        <v>0</v>
      </c>
      <c r="AN9" s="114">
        <v>0</v>
      </c>
      <c r="AO9" s="114">
        <v>0</v>
      </c>
      <c r="AP9" s="114">
        <v>0</v>
      </c>
      <c r="AQ9" s="114">
        <v>0</v>
      </c>
      <c r="AR9" s="114">
        <v>0</v>
      </c>
      <c r="AS9" s="114">
        <v>0</v>
      </c>
      <c r="AT9" s="115">
        <v>0</v>
      </c>
    </row>
    <row r="10" spans="2:46" ht="12" customHeight="1" x14ac:dyDescent="0.3">
      <c r="B10" s="113" t="s">
        <v>33</v>
      </c>
      <c r="C10" s="114" t="s">
        <v>34</v>
      </c>
      <c r="D10" s="114" t="s">
        <v>25</v>
      </c>
      <c r="E10" s="114" t="s">
        <v>25</v>
      </c>
      <c r="F10" s="114" t="s">
        <v>25</v>
      </c>
      <c r="G10" s="114" t="s">
        <v>36</v>
      </c>
      <c r="H10" s="114" t="s">
        <v>68</v>
      </c>
      <c r="I10" s="114" t="s">
        <v>25</v>
      </c>
      <c r="J10" s="114">
        <v>96.97</v>
      </c>
      <c r="K10" s="114">
        <v>208.02</v>
      </c>
      <c r="L10" s="114">
        <v>0</v>
      </c>
      <c r="M10" s="114">
        <v>0.63238140126241904</v>
      </c>
      <c r="N10" s="114">
        <v>0</v>
      </c>
      <c r="O10" s="114">
        <v>0</v>
      </c>
      <c r="P10" s="114">
        <v>0</v>
      </c>
      <c r="Q10" s="114">
        <v>75.581829550978398</v>
      </c>
      <c r="R10" s="114">
        <v>14.218765878443101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4">
        <v>0</v>
      </c>
      <c r="AE10" s="114">
        <v>6.53217866142682</v>
      </c>
      <c r="AF10" s="114">
        <v>0</v>
      </c>
      <c r="AG10" s="114">
        <v>0</v>
      </c>
      <c r="AH10" s="114">
        <v>0</v>
      </c>
      <c r="AI10" s="114">
        <v>0</v>
      </c>
      <c r="AJ10" s="114">
        <v>0</v>
      </c>
      <c r="AK10" s="114">
        <v>0</v>
      </c>
      <c r="AL10" s="114">
        <v>15.9995962138726</v>
      </c>
      <c r="AM10" s="114">
        <v>0</v>
      </c>
      <c r="AN10" s="114">
        <v>192.021128593539</v>
      </c>
      <c r="AO10" s="114">
        <v>0</v>
      </c>
      <c r="AP10" s="114">
        <v>0</v>
      </c>
      <c r="AQ10" s="114">
        <v>0</v>
      </c>
      <c r="AR10" s="114">
        <v>0</v>
      </c>
      <c r="AS10" s="114">
        <v>0</v>
      </c>
      <c r="AT10" s="115">
        <v>0</v>
      </c>
    </row>
    <row r="11" spans="2:46" ht="12" customHeight="1" x14ac:dyDescent="0.3">
      <c r="B11" s="113" t="s">
        <v>33</v>
      </c>
      <c r="C11" s="114" t="s">
        <v>34</v>
      </c>
      <c r="D11" s="114" t="s">
        <v>25</v>
      </c>
      <c r="E11" s="114" t="s">
        <v>25</v>
      </c>
      <c r="F11" s="114" t="s">
        <v>25</v>
      </c>
      <c r="G11" s="114" t="s">
        <v>36</v>
      </c>
      <c r="H11" s="114" t="s">
        <v>71</v>
      </c>
      <c r="I11" s="114" t="s">
        <v>25</v>
      </c>
      <c r="J11" s="114">
        <v>25.4</v>
      </c>
      <c r="K11" s="114">
        <v>0</v>
      </c>
      <c r="L11" s="114">
        <v>0</v>
      </c>
      <c r="M11" s="114">
        <v>0</v>
      </c>
      <c r="N11" s="114">
        <v>0</v>
      </c>
      <c r="O11" s="114">
        <v>0</v>
      </c>
      <c r="P11" s="114">
        <v>0</v>
      </c>
      <c r="Q11" s="114">
        <v>0</v>
      </c>
      <c r="R11" s="114">
        <v>0</v>
      </c>
      <c r="S11" s="114">
        <v>0</v>
      </c>
      <c r="T11" s="114">
        <v>0</v>
      </c>
      <c r="U11" s="114">
        <v>0</v>
      </c>
      <c r="V11" s="114">
        <v>0</v>
      </c>
      <c r="W11" s="114">
        <v>0</v>
      </c>
      <c r="X11" s="114">
        <v>12.3564185017919</v>
      </c>
      <c r="Y11" s="114">
        <v>0</v>
      </c>
      <c r="Z11" s="114">
        <v>0</v>
      </c>
      <c r="AA11" s="114">
        <v>13.040468493452201</v>
      </c>
      <c r="AB11" s="114">
        <v>0</v>
      </c>
      <c r="AC11" s="114">
        <v>0</v>
      </c>
      <c r="AD11" s="114">
        <v>0</v>
      </c>
      <c r="AE11" s="114">
        <v>0</v>
      </c>
      <c r="AF11" s="114">
        <v>0</v>
      </c>
      <c r="AG11" s="114">
        <v>0</v>
      </c>
      <c r="AH11" s="114">
        <v>0</v>
      </c>
      <c r="AI11" s="114">
        <v>0</v>
      </c>
      <c r="AJ11" s="114">
        <v>0</v>
      </c>
      <c r="AK11" s="114">
        <v>0</v>
      </c>
      <c r="AL11" s="114">
        <v>0</v>
      </c>
      <c r="AM11" s="114">
        <v>0</v>
      </c>
      <c r="AN11" s="114">
        <v>0</v>
      </c>
      <c r="AO11" s="114">
        <v>0</v>
      </c>
      <c r="AP11" s="114">
        <v>0</v>
      </c>
      <c r="AQ11" s="114">
        <v>0</v>
      </c>
      <c r="AR11" s="114">
        <v>0</v>
      </c>
      <c r="AS11" s="114">
        <v>0</v>
      </c>
      <c r="AT11" s="115">
        <v>0</v>
      </c>
    </row>
    <row r="12" spans="2:46" ht="12" customHeight="1" x14ac:dyDescent="0.3">
      <c r="B12" s="113" t="s">
        <v>33</v>
      </c>
      <c r="C12" s="114" t="s">
        <v>76</v>
      </c>
      <c r="D12" s="114" t="s">
        <v>25</v>
      </c>
      <c r="E12" s="114" t="s">
        <v>25</v>
      </c>
      <c r="F12" s="114" t="s">
        <v>25</v>
      </c>
      <c r="G12" s="114" t="s">
        <v>25</v>
      </c>
      <c r="H12" s="114" t="s">
        <v>71</v>
      </c>
      <c r="I12" s="114" t="s">
        <v>25</v>
      </c>
      <c r="J12" s="114">
        <v>5.91</v>
      </c>
      <c r="K12" s="114">
        <v>0</v>
      </c>
      <c r="L12" s="114">
        <v>0</v>
      </c>
      <c r="M12" s="114">
        <v>1.02770111513701E-2</v>
      </c>
      <c r="N12" s="114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14">
        <v>0</v>
      </c>
      <c r="U12" s="114">
        <v>0</v>
      </c>
      <c r="V12" s="114">
        <v>0</v>
      </c>
      <c r="W12" s="114">
        <v>0</v>
      </c>
      <c r="X12" s="114">
        <v>0</v>
      </c>
      <c r="Y12" s="114">
        <v>0</v>
      </c>
      <c r="Z12" s="114">
        <v>0</v>
      </c>
      <c r="AA12" s="114">
        <v>5.8994235996437796</v>
      </c>
      <c r="AB12" s="114">
        <v>0</v>
      </c>
      <c r="AC12" s="114">
        <v>0</v>
      </c>
      <c r="AD12" s="114">
        <v>0</v>
      </c>
      <c r="AE12" s="114">
        <v>0</v>
      </c>
      <c r="AF12" s="114">
        <v>0</v>
      </c>
      <c r="AG12" s="114">
        <v>0</v>
      </c>
      <c r="AH12" s="114">
        <v>0</v>
      </c>
      <c r="AI12" s="114">
        <v>0</v>
      </c>
      <c r="AJ12" s="114">
        <v>0</v>
      </c>
      <c r="AK12" s="114">
        <v>0</v>
      </c>
      <c r="AL12" s="114">
        <v>0</v>
      </c>
      <c r="AM12" s="114">
        <v>0</v>
      </c>
      <c r="AN12" s="114">
        <v>0</v>
      </c>
      <c r="AO12" s="114">
        <v>0</v>
      </c>
      <c r="AP12" s="114">
        <v>0</v>
      </c>
      <c r="AQ12" s="114">
        <v>0</v>
      </c>
      <c r="AR12" s="114">
        <v>0</v>
      </c>
      <c r="AS12" s="114">
        <v>0</v>
      </c>
      <c r="AT12" s="115">
        <v>0</v>
      </c>
    </row>
    <row r="13" spans="2:46" ht="12" customHeight="1" x14ac:dyDescent="0.3">
      <c r="B13" s="113" t="s">
        <v>33</v>
      </c>
      <c r="C13" s="114" t="s">
        <v>37</v>
      </c>
      <c r="D13" s="114" t="s">
        <v>25</v>
      </c>
      <c r="E13" s="114" t="s">
        <v>25</v>
      </c>
      <c r="F13" s="114" t="s">
        <v>75</v>
      </c>
      <c r="G13" s="114" t="s">
        <v>35</v>
      </c>
      <c r="H13" s="114" t="s">
        <v>68</v>
      </c>
      <c r="I13" s="114" t="s">
        <v>25</v>
      </c>
      <c r="J13" s="114">
        <v>1865.04</v>
      </c>
      <c r="K13" s="114">
        <v>0</v>
      </c>
      <c r="L13" s="114">
        <v>0</v>
      </c>
      <c r="M13" s="114">
        <v>0.63238140126241904</v>
      </c>
      <c r="N13" s="114">
        <v>0</v>
      </c>
      <c r="O13" s="114">
        <v>0</v>
      </c>
      <c r="P13" s="114">
        <v>0</v>
      </c>
      <c r="Q13" s="114">
        <v>0</v>
      </c>
      <c r="R13" s="114">
        <v>0</v>
      </c>
      <c r="S13" s="114">
        <v>0</v>
      </c>
      <c r="T13" s="114">
        <v>0</v>
      </c>
      <c r="U13" s="114">
        <v>0</v>
      </c>
      <c r="V13" s="114">
        <v>0</v>
      </c>
      <c r="W13" s="114">
        <v>0</v>
      </c>
      <c r="X13" s="114">
        <v>735.52542935538395</v>
      </c>
      <c r="Y13" s="114">
        <v>0</v>
      </c>
      <c r="Z13" s="114">
        <v>0</v>
      </c>
      <c r="AA13" s="114">
        <v>1122.3465626754901</v>
      </c>
      <c r="AB13" s="114">
        <v>0</v>
      </c>
      <c r="AC13" s="114">
        <v>0</v>
      </c>
      <c r="AD13" s="114">
        <v>0</v>
      </c>
      <c r="AE13" s="114">
        <v>6.53217866142682</v>
      </c>
      <c r="AF13" s="114">
        <v>0</v>
      </c>
      <c r="AG13" s="114">
        <v>0</v>
      </c>
      <c r="AH13" s="114">
        <v>0</v>
      </c>
      <c r="AI13" s="114">
        <v>0</v>
      </c>
      <c r="AJ13" s="114">
        <v>0</v>
      </c>
      <c r="AK13" s="114">
        <v>0</v>
      </c>
      <c r="AL13" s="114">
        <v>0</v>
      </c>
      <c r="AM13" s="114">
        <v>0</v>
      </c>
      <c r="AN13" s="114">
        <v>0</v>
      </c>
      <c r="AO13" s="114">
        <v>0</v>
      </c>
      <c r="AP13" s="114">
        <v>0</v>
      </c>
      <c r="AQ13" s="114">
        <v>0</v>
      </c>
      <c r="AR13" s="114">
        <v>0</v>
      </c>
      <c r="AS13" s="114">
        <v>0</v>
      </c>
      <c r="AT13" s="115">
        <v>0</v>
      </c>
    </row>
    <row r="14" spans="2:46" ht="12" customHeight="1" x14ac:dyDescent="0.3">
      <c r="B14" s="113" t="s">
        <v>33</v>
      </c>
      <c r="C14" s="114" t="s">
        <v>37</v>
      </c>
      <c r="D14" s="114" t="s">
        <v>25</v>
      </c>
      <c r="E14" s="114" t="s">
        <v>25</v>
      </c>
      <c r="F14" s="114" t="s">
        <v>75</v>
      </c>
      <c r="G14" s="114" t="s">
        <v>25</v>
      </c>
      <c r="H14" s="114" t="s">
        <v>71</v>
      </c>
      <c r="I14" s="114" t="s">
        <v>25</v>
      </c>
      <c r="J14" s="114">
        <v>25.4</v>
      </c>
      <c r="K14" s="114">
        <v>0</v>
      </c>
      <c r="L14" s="114">
        <v>0</v>
      </c>
      <c r="M14" s="114">
        <v>0</v>
      </c>
      <c r="N14" s="114">
        <v>0</v>
      </c>
      <c r="O14" s="114">
        <v>0</v>
      </c>
      <c r="P14" s="114">
        <v>0</v>
      </c>
      <c r="Q14" s="114">
        <v>0</v>
      </c>
      <c r="R14" s="114">
        <v>0</v>
      </c>
      <c r="S14" s="114">
        <v>0</v>
      </c>
      <c r="T14" s="114">
        <v>0</v>
      </c>
      <c r="U14" s="114">
        <v>0</v>
      </c>
      <c r="V14" s="114">
        <v>0</v>
      </c>
      <c r="W14" s="114">
        <v>0</v>
      </c>
      <c r="X14" s="114">
        <v>12.3564185017919</v>
      </c>
      <c r="Y14" s="114">
        <v>0</v>
      </c>
      <c r="Z14" s="114">
        <v>0</v>
      </c>
      <c r="AA14" s="114">
        <v>13.040468493452201</v>
      </c>
      <c r="AB14" s="114">
        <v>0</v>
      </c>
      <c r="AC14" s="114">
        <v>0</v>
      </c>
      <c r="AD14" s="114">
        <v>0</v>
      </c>
      <c r="AE14" s="114">
        <v>0</v>
      </c>
      <c r="AF14" s="114">
        <v>0</v>
      </c>
      <c r="AG14" s="114">
        <v>0</v>
      </c>
      <c r="AH14" s="114">
        <v>0</v>
      </c>
      <c r="AI14" s="114">
        <v>0</v>
      </c>
      <c r="AJ14" s="114">
        <v>0</v>
      </c>
      <c r="AK14" s="114">
        <v>0</v>
      </c>
      <c r="AL14" s="114">
        <v>0</v>
      </c>
      <c r="AM14" s="114">
        <v>0</v>
      </c>
      <c r="AN14" s="114">
        <v>0</v>
      </c>
      <c r="AO14" s="114">
        <v>0</v>
      </c>
      <c r="AP14" s="114">
        <v>0</v>
      </c>
      <c r="AQ14" s="114">
        <v>0</v>
      </c>
      <c r="AR14" s="114">
        <v>0</v>
      </c>
      <c r="AS14" s="114">
        <v>0</v>
      </c>
      <c r="AT14" s="115">
        <v>0</v>
      </c>
    </row>
    <row r="15" spans="2:46" ht="12" customHeight="1" x14ac:dyDescent="0.3">
      <c r="B15" s="113" t="s">
        <v>33</v>
      </c>
      <c r="C15" s="114" t="s">
        <v>37</v>
      </c>
      <c r="D15" s="114" t="s">
        <v>25</v>
      </c>
      <c r="E15" s="114" t="s">
        <v>25</v>
      </c>
      <c r="F15" s="114" t="s">
        <v>75</v>
      </c>
      <c r="G15" s="114" t="s">
        <v>36</v>
      </c>
      <c r="H15" s="114" t="s">
        <v>68</v>
      </c>
      <c r="I15" s="114" t="s">
        <v>25</v>
      </c>
      <c r="J15" s="114">
        <v>7.16</v>
      </c>
      <c r="K15" s="114">
        <v>0</v>
      </c>
      <c r="L15" s="114">
        <v>0</v>
      </c>
      <c r="M15" s="114">
        <v>0.63238140126241904</v>
      </c>
      <c r="N15" s="114">
        <v>0</v>
      </c>
      <c r="O15" s="114">
        <v>0</v>
      </c>
      <c r="P15" s="114">
        <v>0</v>
      </c>
      <c r="Q15" s="114">
        <v>0</v>
      </c>
      <c r="R15" s="114">
        <v>0</v>
      </c>
      <c r="S15" s="114">
        <v>0</v>
      </c>
      <c r="T15" s="114">
        <v>0</v>
      </c>
      <c r="U15" s="114">
        <v>0</v>
      </c>
      <c r="V15" s="114">
        <v>0</v>
      </c>
      <c r="W15" s="114">
        <v>0</v>
      </c>
      <c r="X15" s="114">
        <v>0</v>
      </c>
      <c r="Y15" s="114">
        <v>0</v>
      </c>
      <c r="Z15" s="114">
        <v>0</v>
      </c>
      <c r="AA15" s="114">
        <v>0</v>
      </c>
      <c r="AB15" s="114">
        <v>0</v>
      </c>
      <c r="AC15" s="114">
        <v>0</v>
      </c>
      <c r="AD15" s="114">
        <v>0</v>
      </c>
      <c r="AE15" s="114">
        <v>6.53217866142682</v>
      </c>
      <c r="AF15" s="114">
        <v>0</v>
      </c>
      <c r="AG15" s="114">
        <v>0</v>
      </c>
      <c r="AH15" s="114">
        <v>0</v>
      </c>
      <c r="AI15" s="114">
        <v>0</v>
      </c>
      <c r="AJ15" s="114">
        <v>0</v>
      </c>
      <c r="AK15" s="114">
        <v>0</v>
      </c>
      <c r="AL15" s="114">
        <v>0</v>
      </c>
      <c r="AM15" s="114">
        <v>0</v>
      </c>
      <c r="AN15" s="114">
        <v>0</v>
      </c>
      <c r="AO15" s="114">
        <v>0</v>
      </c>
      <c r="AP15" s="114">
        <v>0</v>
      </c>
      <c r="AQ15" s="114">
        <v>0</v>
      </c>
      <c r="AR15" s="114">
        <v>0</v>
      </c>
      <c r="AS15" s="114">
        <v>0</v>
      </c>
      <c r="AT15" s="115">
        <v>0</v>
      </c>
    </row>
    <row r="16" spans="2:46" ht="12" customHeight="1" x14ac:dyDescent="0.3">
      <c r="B16" s="113" t="s">
        <v>33</v>
      </c>
      <c r="C16" s="114" t="s">
        <v>37</v>
      </c>
      <c r="D16" s="114" t="s">
        <v>25</v>
      </c>
      <c r="E16" s="114" t="s">
        <v>25</v>
      </c>
      <c r="F16" s="114" t="s">
        <v>25</v>
      </c>
      <c r="G16" s="114" t="s">
        <v>35</v>
      </c>
      <c r="H16" s="114" t="s">
        <v>68</v>
      </c>
      <c r="I16" s="114" t="s">
        <v>25</v>
      </c>
      <c r="J16" s="114">
        <v>1954.84</v>
      </c>
      <c r="K16" s="114">
        <v>208.02</v>
      </c>
      <c r="L16" s="114">
        <v>0</v>
      </c>
      <c r="M16" s="114">
        <v>0.63238140126241904</v>
      </c>
      <c r="N16" s="114">
        <v>0</v>
      </c>
      <c r="O16" s="114">
        <v>0</v>
      </c>
      <c r="P16" s="114">
        <v>0</v>
      </c>
      <c r="Q16" s="114">
        <v>75.581829550978398</v>
      </c>
      <c r="R16" s="114">
        <v>14.218765878443101</v>
      </c>
      <c r="S16" s="114">
        <v>0</v>
      </c>
      <c r="T16" s="114">
        <v>0</v>
      </c>
      <c r="U16" s="114">
        <v>0</v>
      </c>
      <c r="V16" s="114">
        <v>0</v>
      </c>
      <c r="W16" s="114">
        <v>0</v>
      </c>
      <c r="X16" s="114">
        <v>735.52542935538395</v>
      </c>
      <c r="Y16" s="114">
        <v>0</v>
      </c>
      <c r="Z16" s="114">
        <v>0</v>
      </c>
      <c r="AA16" s="114">
        <v>1122.3465626754901</v>
      </c>
      <c r="AB16" s="114">
        <v>0</v>
      </c>
      <c r="AC16" s="114">
        <v>0</v>
      </c>
      <c r="AD16" s="114">
        <v>0</v>
      </c>
      <c r="AE16" s="114">
        <v>6.53217866142682</v>
      </c>
      <c r="AF16" s="114">
        <v>0</v>
      </c>
      <c r="AG16" s="114">
        <v>0</v>
      </c>
      <c r="AH16" s="114">
        <v>0</v>
      </c>
      <c r="AI16" s="114">
        <v>0</v>
      </c>
      <c r="AJ16" s="114">
        <v>0</v>
      </c>
      <c r="AK16" s="114">
        <v>0</v>
      </c>
      <c r="AL16" s="114">
        <v>15.9995962138726</v>
      </c>
      <c r="AM16" s="114">
        <v>0</v>
      </c>
      <c r="AN16" s="114">
        <v>192.021128593539</v>
      </c>
      <c r="AO16" s="114">
        <v>0</v>
      </c>
      <c r="AP16" s="114">
        <v>0</v>
      </c>
      <c r="AQ16" s="114">
        <v>0</v>
      </c>
      <c r="AR16" s="114">
        <v>0</v>
      </c>
      <c r="AS16" s="114">
        <v>0</v>
      </c>
      <c r="AT16" s="115">
        <v>0</v>
      </c>
    </row>
    <row r="17" spans="2:46" ht="12" customHeight="1" x14ac:dyDescent="0.3">
      <c r="B17" s="113" t="s">
        <v>33</v>
      </c>
      <c r="C17" s="114" t="s">
        <v>37</v>
      </c>
      <c r="D17" s="114" t="s">
        <v>25</v>
      </c>
      <c r="E17" s="114" t="s">
        <v>25</v>
      </c>
      <c r="F17" s="114" t="s">
        <v>25</v>
      </c>
      <c r="G17" s="114" t="s">
        <v>25</v>
      </c>
      <c r="H17" s="114" t="s">
        <v>71</v>
      </c>
      <c r="I17" s="114" t="s">
        <v>25</v>
      </c>
      <c r="J17" s="114">
        <v>25.4</v>
      </c>
      <c r="K17" s="114">
        <v>0</v>
      </c>
      <c r="L17" s="114">
        <v>0</v>
      </c>
      <c r="M17" s="114">
        <v>0</v>
      </c>
      <c r="N17" s="114">
        <v>0</v>
      </c>
      <c r="O17" s="114">
        <v>0</v>
      </c>
      <c r="P17" s="114">
        <v>0</v>
      </c>
      <c r="Q17" s="114">
        <v>0</v>
      </c>
      <c r="R17" s="114">
        <v>0</v>
      </c>
      <c r="S17" s="114">
        <v>0</v>
      </c>
      <c r="T17" s="114">
        <v>0</v>
      </c>
      <c r="U17" s="114">
        <v>0</v>
      </c>
      <c r="V17" s="114">
        <v>0</v>
      </c>
      <c r="W17" s="114">
        <v>0</v>
      </c>
      <c r="X17" s="114">
        <v>12.3564185017919</v>
      </c>
      <c r="Y17" s="114">
        <v>0</v>
      </c>
      <c r="Z17" s="114">
        <v>0</v>
      </c>
      <c r="AA17" s="114">
        <v>13.040468493452201</v>
      </c>
      <c r="AB17" s="114">
        <v>0</v>
      </c>
      <c r="AC17" s="114">
        <v>0</v>
      </c>
      <c r="AD17" s="114">
        <v>0</v>
      </c>
      <c r="AE17" s="114">
        <v>0</v>
      </c>
      <c r="AF17" s="114">
        <v>0</v>
      </c>
      <c r="AG17" s="114">
        <v>0</v>
      </c>
      <c r="AH17" s="114">
        <v>0</v>
      </c>
      <c r="AI17" s="114">
        <v>0</v>
      </c>
      <c r="AJ17" s="114">
        <v>0</v>
      </c>
      <c r="AK17" s="114">
        <v>0</v>
      </c>
      <c r="AL17" s="114">
        <v>0</v>
      </c>
      <c r="AM17" s="114">
        <v>0</v>
      </c>
      <c r="AN17" s="114">
        <v>0</v>
      </c>
      <c r="AO17" s="114">
        <v>0</v>
      </c>
      <c r="AP17" s="114">
        <v>0</v>
      </c>
      <c r="AQ17" s="114">
        <v>0</v>
      </c>
      <c r="AR17" s="114">
        <v>0</v>
      </c>
      <c r="AS17" s="114">
        <v>0</v>
      </c>
      <c r="AT17" s="115">
        <v>0</v>
      </c>
    </row>
    <row r="18" spans="2:46" ht="12" customHeight="1" x14ac:dyDescent="0.3">
      <c r="B18" s="113" t="s">
        <v>33</v>
      </c>
      <c r="C18" s="114" t="s">
        <v>37</v>
      </c>
      <c r="D18" s="114" t="s">
        <v>25</v>
      </c>
      <c r="E18" s="114" t="s">
        <v>25</v>
      </c>
      <c r="F18" s="114" t="s">
        <v>25</v>
      </c>
      <c r="G18" s="114" t="s">
        <v>36</v>
      </c>
      <c r="H18" s="114" t="s">
        <v>68</v>
      </c>
      <c r="I18" s="114" t="s">
        <v>25</v>
      </c>
      <c r="J18" s="114">
        <v>96.97</v>
      </c>
      <c r="K18" s="114">
        <v>208.02</v>
      </c>
      <c r="L18" s="114">
        <v>0</v>
      </c>
      <c r="M18" s="114">
        <v>0.63238140126241904</v>
      </c>
      <c r="N18" s="114">
        <v>0</v>
      </c>
      <c r="O18" s="114">
        <v>0</v>
      </c>
      <c r="P18" s="114">
        <v>0</v>
      </c>
      <c r="Q18" s="114">
        <v>75.581829550978398</v>
      </c>
      <c r="R18" s="114">
        <v>14.218765878443101</v>
      </c>
      <c r="S18" s="114">
        <v>0</v>
      </c>
      <c r="T18" s="114">
        <v>0</v>
      </c>
      <c r="U18" s="114">
        <v>0</v>
      </c>
      <c r="V18" s="114">
        <v>0</v>
      </c>
      <c r="W18" s="114">
        <v>0</v>
      </c>
      <c r="X18" s="114">
        <v>0</v>
      </c>
      <c r="Y18" s="114">
        <v>0</v>
      </c>
      <c r="Z18" s="114">
        <v>0</v>
      </c>
      <c r="AA18" s="114">
        <v>0</v>
      </c>
      <c r="AB18" s="114">
        <v>0</v>
      </c>
      <c r="AC18" s="114">
        <v>0</v>
      </c>
      <c r="AD18" s="114">
        <v>0</v>
      </c>
      <c r="AE18" s="114">
        <v>6.53217866142682</v>
      </c>
      <c r="AF18" s="114">
        <v>0</v>
      </c>
      <c r="AG18" s="114">
        <v>0</v>
      </c>
      <c r="AH18" s="114">
        <v>0</v>
      </c>
      <c r="AI18" s="114">
        <v>0</v>
      </c>
      <c r="AJ18" s="114">
        <v>0</v>
      </c>
      <c r="AK18" s="114">
        <v>0</v>
      </c>
      <c r="AL18" s="114">
        <v>15.9995962138726</v>
      </c>
      <c r="AM18" s="114">
        <v>0</v>
      </c>
      <c r="AN18" s="114">
        <v>192.021128593539</v>
      </c>
      <c r="AO18" s="114">
        <v>0</v>
      </c>
      <c r="AP18" s="114">
        <v>0</v>
      </c>
      <c r="AQ18" s="114">
        <v>0</v>
      </c>
      <c r="AR18" s="114">
        <v>0</v>
      </c>
      <c r="AS18" s="114">
        <v>0</v>
      </c>
      <c r="AT18" s="115">
        <v>0</v>
      </c>
    </row>
    <row r="19" spans="2:46" ht="12" customHeight="1" x14ac:dyDescent="0.3">
      <c r="B19" s="113" t="s">
        <v>77</v>
      </c>
      <c r="C19" s="114" t="s">
        <v>76</v>
      </c>
      <c r="D19" s="114" t="s">
        <v>25</v>
      </c>
      <c r="E19" s="114" t="s">
        <v>25</v>
      </c>
      <c r="F19" s="114" t="s">
        <v>78</v>
      </c>
      <c r="G19" s="114" t="s">
        <v>25</v>
      </c>
      <c r="H19" s="114" t="s">
        <v>71</v>
      </c>
      <c r="I19" s="114" t="s">
        <v>25</v>
      </c>
      <c r="J19" s="114">
        <v>6.1</v>
      </c>
      <c r="K19" s="114">
        <v>0</v>
      </c>
      <c r="L19" s="114">
        <v>0</v>
      </c>
      <c r="M19" s="114">
        <v>1.05792761852339E-2</v>
      </c>
      <c r="N19" s="114">
        <v>0</v>
      </c>
      <c r="O19" s="114">
        <v>0</v>
      </c>
      <c r="P19" s="114">
        <v>0</v>
      </c>
      <c r="Q19" s="114">
        <v>0</v>
      </c>
      <c r="R19" s="114">
        <v>0</v>
      </c>
      <c r="S19" s="114">
        <v>0</v>
      </c>
      <c r="T19" s="114">
        <v>0</v>
      </c>
      <c r="U19" s="114">
        <v>0</v>
      </c>
      <c r="V19" s="114">
        <v>0</v>
      </c>
      <c r="W19" s="114">
        <v>0</v>
      </c>
      <c r="X19" s="114">
        <v>0</v>
      </c>
      <c r="Y19" s="114">
        <v>0</v>
      </c>
      <c r="Z19" s="114">
        <v>0</v>
      </c>
      <c r="AA19" s="114">
        <v>6.0852543755972901</v>
      </c>
      <c r="AB19" s="114">
        <v>0</v>
      </c>
      <c r="AC19" s="114">
        <v>0</v>
      </c>
      <c r="AD19" s="114">
        <v>0</v>
      </c>
      <c r="AE19" s="114">
        <v>0</v>
      </c>
      <c r="AF19" s="114">
        <v>0</v>
      </c>
      <c r="AG19" s="114">
        <v>0</v>
      </c>
      <c r="AH19" s="114">
        <v>0</v>
      </c>
      <c r="AI19" s="114">
        <v>0</v>
      </c>
      <c r="AJ19" s="114">
        <v>0</v>
      </c>
      <c r="AK19" s="114">
        <v>0</v>
      </c>
      <c r="AL19" s="114">
        <v>0</v>
      </c>
      <c r="AM19" s="114">
        <v>0</v>
      </c>
      <c r="AN19" s="114">
        <v>0</v>
      </c>
      <c r="AO19" s="114">
        <v>0</v>
      </c>
      <c r="AP19" s="114">
        <v>0</v>
      </c>
      <c r="AQ19" s="114">
        <v>0</v>
      </c>
      <c r="AR19" s="114">
        <v>0</v>
      </c>
      <c r="AS19" s="114">
        <v>0</v>
      </c>
      <c r="AT19" s="115">
        <v>0</v>
      </c>
    </row>
    <row r="20" spans="2:46" ht="12" customHeight="1" x14ac:dyDescent="0.3">
      <c r="B20" s="113" t="s">
        <v>77</v>
      </c>
      <c r="C20" s="114" t="s">
        <v>76</v>
      </c>
      <c r="D20" s="114" t="s">
        <v>25</v>
      </c>
      <c r="E20" s="114" t="s">
        <v>25</v>
      </c>
      <c r="F20" s="114" t="s">
        <v>79</v>
      </c>
      <c r="G20" s="114" t="s">
        <v>25</v>
      </c>
      <c r="H20" s="114" t="s">
        <v>71</v>
      </c>
      <c r="I20" s="114" t="s">
        <v>25</v>
      </c>
      <c r="J20" s="114">
        <v>12.39</v>
      </c>
      <c r="K20" s="114">
        <v>0</v>
      </c>
      <c r="L20" s="114">
        <v>0</v>
      </c>
      <c r="M20" s="114">
        <v>1.05792761852339E-2</v>
      </c>
      <c r="N20" s="114">
        <v>0</v>
      </c>
      <c r="O20" s="114">
        <v>0</v>
      </c>
      <c r="P20" s="114">
        <v>0</v>
      </c>
      <c r="Q20" s="114">
        <v>0</v>
      </c>
      <c r="R20" s="114">
        <v>0</v>
      </c>
      <c r="S20" s="114">
        <v>0</v>
      </c>
      <c r="T20" s="114">
        <v>0</v>
      </c>
      <c r="U20" s="114">
        <v>0</v>
      </c>
      <c r="V20" s="114">
        <v>0</v>
      </c>
      <c r="W20" s="114">
        <v>0</v>
      </c>
      <c r="X20" s="114">
        <v>0</v>
      </c>
      <c r="Y20" s="114">
        <v>0</v>
      </c>
      <c r="Z20" s="114">
        <v>0</v>
      </c>
      <c r="AA20" s="114">
        <v>12.3806964591399</v>
      </c>
      <c r="AB20" s="114">
        <v>0</v>
      </c>
      <c r="AC20" s="114">
        <v>0</v>
      </c>
      <c r="AD20" s="114">
        <v>0</v>
      </c>
      <c r="AE20" s="114">
        <v>0</v>
      </c>
      <c r="AF20" s="114">
        <v>0</v>
      </c>
      <c r="AG20" s="114">
        <v>0</v>
      </c>
      <c r="AH20" s="114">
        <v>0</v>
      </c>
      <c r="AI20" s="114">
        <v>0</v>
      </c>
      <c r="AJ20" s="114">
        <v>0</v>
      </c>
      <c r="AK20" s="114">
        <v>0</v>
      </c>
      <c r="AL20" s="114">
        <v>0</v>
      </c>
      <c r="AM20" s="114">
        <v>0</v>
      </c>
      <c r="AN20" s="114">
        <v>0</v>
      </c>
      <c r="AO20" s="114">
        <v>0</v>
      </c>
      <c r="AP20" s="114">
        <v>0</v>
      </c>
      <c r="AQ20" s="114">
        <v>0</v>
      </c>
      <c r="AR20" s="114">
        <v>0</v>
      </c>
      <c r="AS20" s="114">
        <v>0</v>
      </c>
      <c r="AT20" s="115">
        <v>0</v>
      </c>
    </row>
    <row r="21" spans="2:46" ht="12" customHeight="1" x14ac:dyDescent="0.3">
      <c r="B21" s="113" t="s">
        <v>22</v>
      </c>
      <c r="C21" s="114" t="s">
        <v>82</v>
      </c>
      <c r="D21" s="114" t="s">
        <v>24</v>
      </c>
      <c r="E21" s="114" t="s">
        <v>24</v>
      </c>
      <c r="F21" s="114" t="s">
        <v>25</v>
      </c>
      <c r="G21" s="114" t="s">
        <v>35</v>
      </c>
      <c r="H21" s="114" t="s">
        <v>68</v>
      </c>
      <c r="I21" s="114" t="s">
        <v>25</v>
      </c>
      <c r="J21" s="114">
        <v>915.65</v>
      </c>
      <c r="K21" s="114">
        <v>208.02</v>
      </c>
      <c r="L21" s="114">
        <v>0</v>
      </c>
      <c r="M21" s="114">
        <v>0.86402762141257305</v>
      </c>
      <c r="N21" s="114">
        <v>0</v>
      </c>
      <c r="O21" s="114">
        <v>0</v>
      </c>
      <c r="P21" s="114">
        <v>0</v>
      </c>
      <c r="Q21" s="114">
        <v>89.978368513069498</v>
      </c>
      <c r="R21" s="114">
        <v>14.218765878443101</v>
      </c>
      <c r="S21" s="114">
        <v>0</v>
      </c>
      <c r="T21" s="114">
        <v>0</v>
      </c>
      <c r="U21" s="114">
        <v>0</v>
      </c>
      <c r="V21" s="114">
        <v>0</v>
      </c>
      <c r="W21" s="114">
        <v>0</v>
      </c>
      <c r="X21" s="114">
        <v>269.28074338279799</v>
      </c>
      <c r="Y21" s="114">
        <v>0</v>
      </c>
      <c r="Z21" s="114">
        <v>0</v>
      </c>
      <c r="AA21" s="114">
        <v>524.39300399591104</v>
      </c>
      <c r="AB21" s="114">
        <v>0</v>
      </c>
      <c r="AC21" s="114">
        <v>0</v>
      </c>
      <c r="AD21" s="114">
        <v>0</v>
      </c>
      <c r="AE21" s="114">
        <v>16.918550688263899</v>
      </c>
      <c r="AF21" s="114">
        <v>0</v>
      </c>
      <c r="AG21" s="114">
        <v>0</v>
      </c>
      <c r="AH21" s="114">
        <v>0</v>
      </c>
      <c r="AI21" s="114">
        <v>0</v>
      </c>
      <c r="AJ21" s="114">
        <v>0</v>
      </c>
      <c r="AK21" s="114">
        <v>0</v>
      </c>
      <c r="AL21" s="114">
        <v>15.9995962138726</v>
      </c>
      <c r="AM21" s="114">
        <v>0</v>
      </c>
      <c r="AN21" s="114">
        <v>192.021128593539</v>
      </c>
      <c r="AO21" s="114">
        <v>0</v>
      </c>
      <c r="AP21" s="114">
        <v>0</v>
      </c>
      <c r="AQ21" s="114">
        <v>0</v>
      </c>
      <c r="AR21" s="114">
        <v>0</v>
      </c>
      <c r="AS21" s="114">
        <v>0</v>
      </c>
      <c r="AT21" s="115">
        <v>0</v>
      </c>
    </row>
    <row r="22" spans="2:46" ht="12" customHeight="1" x14ac:dyDescent="0.3">
      <c r="B22" s="113" t="s">
        <v>22</v>
      </c>
      <c r="C22" s="114" t="s">
        <v>82</v>
      </c>
      <c r="D22" s="114" t="s">
        <v>24</v>
      </c>
      <c r="E22" s="114" t="s">
        <v>24</v>
      </c>
      <c r="F22" s="114" t="s">
        <v>25</v>
      </c>
      <c r="G22" s="114" t="s">
        <v>514</v>
      </c>
      <c r="H22" s="114" t="s">
        <v>68</v>
      </c>
      <c r="I22" s="114" t="s">
        <v>25</v>
      </c>
      <c r="J22" s="114">
        <v>598.17999999999995</v>
      </c>
      <c r="K22" s="114">
        <v>208.02</v>
      </c>
      <c r="L22" s="114">
        <v>0</v>
      </c>
      <c r="M22" s="114">
        <v>0.86402762141257305</v>
      </c>
      <c r="N22" s="114">
        <v>0</v>
      </c>
      <c r="O22" s="114">
        <v>0</v>
      </c>
      <c r="P22" s="114">
        <v>0</v>
      </c>
      <c r="Q22" s="114">
        <v>89.978368513069498</v>
      </c>
      <c r="R22" s="114">
        <v>14.218765878443101</v>
      </c>
      <c r="S22" s="114">
        <v>0</v>
      </c>
      <c r="T22" s="114">
        <v>0</v>
      </c>
      <c r="U22" s="114">
        <v>0</v>
      </c>
      <c r="V22" s="114">
        <v>0</v>
      </c>
      <c r="W22" s="114">
        <v>0</v>
      </c>
      <c r="X22" s="114">
        <v>161.56846608814899</v>
      </c>
      <c r="Y22" s="114">
        <v>0</v>
      </c>
      <c r="Z22" s="114">
        <v>0</v>
      </c>
      <c r="AA22" s="114">
        <v>314.63595766085803</v>
      </c>
      <c r="AB22" s="114">
        <v>0</v>
      </c>
      <c r="AC22" s="114">
        <v>0</v>
      </c>
      <c r="AD22" s="114">
        <v>0</v>
      </c>
      <c r="AE22" s="114">
        <v>16.918550688263899</v>
      </c>
      <c r="AF22" s="114">
        <v>0</v>
      </c>
      <c r="AG22" s="114">
        <v>0</v>
      </c>
      <c r="AH22" s="114">
        <v>0</v>
      </c>
      <c r="AI22" s="114">
        <v>0</v>
      </c>
      <c r="AJ22" s="114">
        <v>0</v>
      </c>
      <c r="AK22" s="114">
        <v>0</v>
      </c>
      <c r="AL22" s="114">
        <v>15.9995962138726</v>
      </c>
      <c r="AM22" s="114">
        <v>0</v>
      </c>
      <c r="AN22" s="114">
        <v>192.021128593539</v>
      </c>
      <c r="AO22" s="114">
        <v>0</v>
      </c>
      <c r="AP22" s="114">
        <v>0</v>
      </c>
      <c r="AQ22" s="114">
        <v>0</v>
      </c>
      <c r="AR22" s="114">
        <v>0</v>
      </c>
      <c r="AS22" s="114">
        <v>0</v>
      </c>
      <c r="AT22" s="115">
        <v>0</v>
      </c>
    </row>
    <row r="23" spans="2:46" ht="12" customHeight="1" x14ac:dyDescent="0.3">
      <c r="B23" s="113" t="s">
        <v>22</v>
      </c>
      <c r="C23" s="114" t="s">
        <v>82</v>
      </c>
      <c r="D23" s="114" t="s">
        <v>24</v>
      </c>
      <c r="E23" s="114" t="s">
        <v>24</v>
      </c>
      <c r="F23" s="114" t="s">
        <v>25</v>
      </c>
      <c r="G23" s="114" t="s">
        <v>36</v>
      </c>
      <c r="H23" s="114" t="s">
        <v>68</v>
      </c>
      <c r="I23" s="114" t="s">
        <v>25</v>
      </c>
      <c r="J23" s="114">
        <v>280.76</v>
      </c>
      <c r="K23" s="114">
        <v>208.02</v>
      </c>
      <c r="L23" s="114">
        <v>0</v>
      </c>
      <c r="M23" s="114">
        <v>0.86402762141257305</v>
      </c>
      <c r="N23" s="114">
        <v>0</v>
      </c>
      <c r="O23" s="114">
        <v>0</v>
      </c>
      <c r="P23" s="114">
        <v>0</v>
      </c>
      <c r="Q23" s="114">
        <v>89.978368513069498</v>
      </c>
      <c r="R23" s="114">
        <v>14.218765878443101</v>
      </c>
      <c r="S23" s="114">
        <v>0</v>
      </c>
      <c r="T23" s="114">
        <v>0</v>
      </c>
      <c r="U23" s="114">
        <v>0</v>
      </c>
      <c r="V23" s="114">
        <v>0</v>
      </c>
      <c r="W23" s="114">
        <v>0</v>
      </c>
      <c r="X23" s="114">
        <v>53.905332044252901</v>
      </c>
      <c r="Y23" s="114">
        <v>0</v>
      </c>
      <c r="Z23" s="114">
        <v>0</v>
      </c>
      <c r="AA23" s="114">
        <v>104.87852316752701</v>
      </c>
      <c r="AB23" s="114">
        <v>0</v>
      </c>
      <c r="AC23" s="114">
        <v>0</v>
      </c>
      <c r="AD23" s="114">
        <v>0</v>
      </c>
      <c r="AE23" s="114">
        <v>16.918550688263899</v>
      </c>
      <c r="AF23" s="114">
        <v>0</v>
      </c>
      <c r="AG23" s="114">
        <v>0</v>
      </c>
      <c r="AH23" s="114">
        <v>0</v>
      </c>
      <c r="AI23" s="114">
        <v>0</v>
      </c>
      <c r="AJ23" s="114">
        <v>0</v>
      </c>
      <c r="AK23" s="114">
        <v>0</v>
      </c>
      <c r="AL23" s="114">
        <v>15.9995962138726</v>
      </c>
      <c r="AM23" s="114">
        <v>0</v>
      </c>
      <c r="AN23" s="114">
        <v>192.021128593539</v>
      </c>
      <c r="AO23" s="114">
        <v>0</v>
      </c>
      <c r="AP23" s="114">
        <v>0</v>
      </c>
      <c r="AQ23" s="114">
        <v>0</v>
      </c>
      <c r="AR23" s="114">
        <v>0</v>
      </c>
      <c r="AS23" s="114">
        <v>0</v>
      </c>
      <c r="AT23" s="115">
        <v>0</v>
      </c>
    </row>
    <row r="24" spans="2:46" ht="12" customHeight="1" x14ac:dyDescent="0.3">
      <c r="B24" s="113" t="s">
        <v>22</v>
      </c>
      <c r="C24" s="114" t="s">
        <v>23</v>
      </c>
      <c r="D24" s="114" t="s">
        <v>24</v>
      </c>
      <c r="E24" s="114" t="s">
        <v>1042</v>
      </c>
      <c r="F24" s="114" t="s">
        <v>25</v>
      </c>
      <c r="G24" s="114" t="s">
        <v>25</v>
      </c>
      <c r="H24" s="114" t="s">
        <v>68</v>
      </c>
      <c r="I24" s="114" t="s">
        <v>25</v>
      </c>
      <c r="J24" s="114">
        <v>311.69</v>
      </c>
      <c r="K24" s="114">
        <v>208.02</v>
      </c>
      <c r="L24" s="114">
        <v>0</v>
      </c>
      <c r="M24" s="114">
        <v>0.86402762141257305</v>
      </c>
      <c r="N24" s="114">
        <v>0</v>
      </c>
      <c r="O24" s="114">
        <v>0</v>
      </c>
      <c r="P24" s="114">
        <v>0</v>
      </c>
      <c r="Q24" s="114">
        <v>0</v>
      </c>
      <c r="R24" s="114">
        <v>0</v>
      </c>
      <c r="S24" s="114">
        <v>0</v>
      </c>
      <c r="T24" s="114">
        <v>0</v>
      </c>
      <c r="U24" s="114">
        <v>0</v>
      </c>
      <c r="V24" s="114">
        <v>0</v>
      </c>
      <c r="W24" s="114">
        <v>0</v>
      </c>
      <c r="X24" s="114">
        <v>99.688087077681203</v>
      </c>
      <c r="Y24" s="114">
        <v>0</v>
      </c>
      <c r="Z24" s="114">
        <v>0</v>
      </c>
      <c r="AA24" s="114">
        <v>194.219652673946</v>
      </c>
      <c r="AB24" s="114">
        <v>0</v>
      </c>
      <c r="AC24" s="114">
        <v>0</v>
      </c>
      <c r="AD24" s="114">
        <v>0</v>
      </c>
      <c r="AE24" s="114">
        <v>16.918550688263899</v>
      </c>
      <c r="AF24" s="114">
        <v>0</v>
      </c>
      <c r="AG24" s="114">
        <v>0</v>
      </c>
      <c r="AH24" s="114">
        <v>0</v>
      </c>
      <c r="AI24" s="114">
        <v>0</v>
      </c>
      <c r="AJ24" s="114">
        <v>0</v>
      </c>
      <c r="AK24" s="114">
        <v>0</v>
      </c>
      <c r="AL24" s="114">
        <v>15.9995962138726</v>
      </c>
      <c r="AM24" s="114">
        <v>0</v>
      </c>
      <c r="AN24" s="114">
        <v>192.021128593539</v>
      </c>
      <c r="AO24" s="114">
        <v>0</v>
      </c>
      <c r="AP24" s="114">
        <v>0</v>
      </c>
      <c r="AQ24" s="114">
        <v>0</v>
      </c>
      <c r="AR24" s="114">
        <v>0</v>
      </c>
      <c r="AS24" s="114">
        <v>0</v>
      </c>
      <c r="AT24" s="115">
        <v>0</v>
      </c>
    </row>
    <row r="25" spans="2:46" ht="12" customHeight="1" x14ac:dyDescent="0.3">
      <c r="B25" s="113" t="s">
        <v>22</v>
      </c>
      <c r="C25" s="114" t="s">
        <v>23</v>
      </c>
      <c r="D25" s="114" t="s">
        <v>24</v>
      </c>
      <c r="E25" s="114" t="s">
        <v>24</v>
      </c>
      <c r="F25" s="114" t="s">
        <v>25</v>
      </c>
      <c r="G25" s="114" t="s">
        <v>25</v>
      </c>
      <c r="H25" s="114" t="s">
        <v>68</v>
      </c>
      <c r="I25" s="114" t="s">
        <v>25</v>
      </c>
      <c r="J25" s="114">
        <v>415.89</v>
      </c>
      <c r="K25" s="114">
        <v>208.02</v>
      </c>
      <c r="L25" s="114">
        <v>0</v>
      </c>
      <c r="M25" s="114">
        <v>0.86402762141257305</v>
      </c>
      <c r="N25" s="114">
        <v>0</v>
      </c>
      <c r="O25" s="114">
        <v>0</v>
      </c>
      <c r="P25" s="114">
        <v>0</v>
      </c>
      <c r="Q25" s="114">
        <v>89.978368513069498</v>
      </c>
      <c r="R25" s="114">
        <v>14.218765878443101</v>
      </c>
      <c r="S25" s="114">
        <v>0</v>
      </c>
      <c r="T25" s="114">
        <v>0</v>
      </c>
      <c r="U25" s="114">
        <v>0</v>
      </c>
      <c r="V25" s="114">
        <v>0</v>
      </c>
      <c r="W25" s="114">
        <v>0</v>
      </c>
      <c r="X25" s="114">
        <v>99.688087077681203</v>
      </c>
      <c r="Y25" s="114">
        <v>0</v>
      </c>
      <c r="Z25" s="114">
        <v>0</v>
      </c>
      <c r="AA25" s="114">
        <v>194.219652673946</v>
      </c>
      <c r="AB25" s="114">
        <v>0</v>
      </c>
      <c r="AC25" s="114">
        <v>0</v>
      </c>
      <c r="AD25" s="114">
        <v>0</v>
      </c>
      <c r="AE25" s="114">
        <v>16.918550688263899</v>
      </c>
      <c r="AF25" s="114">
        <v>0</v>
      </c>
      <c r="AG25" s="114">
        <v>0</v>
      </c>
      <c r="AH25" s="114">
        <v>0</v>
      </c>
      <c r="AI25" s="114">
        <v>0</v>
      </c>
      <c r="AJ25" s="114">
        <v>0</v>
      </c>
      <c r="AK25" s="114">
        <v>0</v>
      </c>
      <c r="AL25" s="114">
        <v>15.9995962138726</v>
      </c>
      <c r="AM25" s="114">
        <v>0</v>
      </c>
      <c r="AN25" s="114">
        <v>192.021128593539</v>
      </c>
      <c r="AO25" s="114">
        <v>0</v>
      </c>
      <c r="AP25" s="114">
        <v>0</v>
      </c>
      <c r="AQ25" s="114">
        <v>0</v>
      </c>
      <c r="AR25" s="114">
        <v>0</v>
      </c>
      <c r="AS25" s="114">
        <v>0</v>
      </c>
      <c r="AT25" s="115">
        <v>0</v>
      </c>
    </row>
    <row r="26" spans="2:46" ht="12" customHeight="1" x14ac:dyDescent="0.3">
      <c r="B26" s="113" t="s">
        <v>22</v>
      </c>
      <c r="C26" s="114" t="s">
        <v>84</v>
      </c>
      <c r="D26" s="114" t="s">
        <v>24</v>
      </c>
      <c r="E26" s="114" t="s">
        <v>1042</v>
      </c>
      <c r="F26" s="114" t="s">
        <v>25</v>
      </c>
      <c r="G26" s="114" t="s">
        <v>25</v>
      </c>
      <c r="H26" s="114" t="s">
        <v>68</v>
      </c>
      <c r="I26" s="114" t="s">
        <v>25</v>
      </c>
      <c r="J26" s="114">
        <v>0.86</v>
      </c>
      <c r="K26" s="114">
        <v>208.02</v>
      </c>
      <c r="L26" s="114">
        <v>0</v>
      </c>
      <c r="M26" s="114">
        <v>0.86402762141257305</v>
      </c>
      <c r="N26" s="114">
        <v>0</v>
      </c>
      <c r="O26" s="114">
        <v>0</v>
      </c>
      <c r="P26" s="114">
        <v>0</v>
      </c>
      <c r="Q26" s="114">
        <v>0</v>
      </c>
      <c r="R26" s="114">
        <v>0</v>
      </c>
      <c r="S26" s="114">
        <v>0</v>
      </c>
      <c r="T26" s="114">
        <v>0</v>
      </c>
      <c r="U26" s="114">
        <v>0</v>
      </c>
      <c r="V26" s="114">
        <v>0</v>
      </c>
      <c r="W26" s="114">
        <v>0</v>
      </c>
      <c r="X26" s="114">
        <v>0</v>
      </c>
      <c r="Y26" s="114">
        <v>0</v>
      </c>
      <c r="Z26" s="114">
        <v>0</v>
      </c>
      <c r="AA26" s="114">
        <v>0</v>
      </c>
      <c r="AB26" s="114">
        <v>0</v>
      </c>
      <c r="AC26" s="114">
        <v>0</v>
      </c>
      <c r="AD26" s="114">
        <v>0</v>
      </c>
      <c r="AE26" s="114">
        <v>0</v>
      </c>
      <c r="AF26" s="114">
        <v>0</v>
      </c>
      <c r="AG26" s="114">
        <v>0</v>
      </c>
      <c r="AH26" s="114">
        <v>0</v>
      </c>
      <c r="AI26" s="114">
        <v>0</v>
      </c>
      <c r="AJ26" s="114">
        <v>0</v>
      </c>
      <c r="AK26" s="114">
        <v>0</v>
      </c>
      <c r="AL26" s="114">
        <v>15.9995962138726</v>
      </c>
      <c r="AM26" s="114">
        <v>0</v>
      </c>
      <c r="AN26" s="114">
        <v>192.021128593539</v>
      </c>
      <c r="AO26" s="114">
        <v>0</v>
      </c>
      <c r="AP26" s="114">
        <v>0</v>
      </c>
      <c r="AQ26" s="114">
        <v>0</v>
      </c>
      <c r="AR26" s="114">
        <v>0</v>
      </c>
      <c r="AS26" s="114">
        <v>0</v>
      </c>
      <c r="AT26" s="115">
        <v>0</v>
      </c>
    </row>
    <row r="27" spans="2:46" ht="12" customHeight="1" x14ac:dyDescent="0.3">
      <c r="B27" s="113" t="s">
        <v>22</v>
      </c>
      <c r="C27" s="114" t="s">
        <v>84</v>
      </c>
      <c r="D27" s="114" t="s">
        <v>24</v>
      </c>
      <c r="E27" s="114" t="s">
        <v>24</v>
      </c>
      <c r="F27" s="114" t="s">
        <v>25</v>
      </c>
      <c r="G27" s="114" t="s">
        <v>25</v>
      </c>
      <c r="H27" s="114" t="s">
        <v>68</v>
      </c>
      <c r="I27" s="114" t="s">
        <v>25</v>
      </c>
      <c r="J27" s="114">
        <v>105.06</v>
      </c>
      <c r="K27" s="114">
        <v>208.02</v>
      </c>
      <c r="L27" s="114">
        <v>0</v>
      </c>
      <c r="M27" s="114">
        <v>0.86402762141257305</v>
      </c>
      <c r="N27" s="114">
        <v>0</v>
      </c>
      <c r="O27" s="114">
        <v>0</v>
      </c>
      <c r="P27" s="114">
        <v>0</v>
      </c>
      <c r="Q27" s="114">
        <v>89.978368513069498</v>
      </c>
      <c r="R27" s="114">
        <v>14.218765878443101</v>
      </c>
      <c r="S27" s="114">
        <v>0</v>
      </c>
      <c r="T27" s="114">
        <v>0</v>
      </c>
      <c r="U27" s="114">
        <v>0</v>
      </c>
      <c r="V27" s="114">
        <v>0</v>
      </c>
      <c r="W27" s="114">
        <v>0</v>
      </c>
      <c r="X27" s="114">
        <v>0</v>
      </c>
      <c r="Y27" s="114">
        <v>0</v>
      </c>
      <c r="Z27" s="114">
        <v>0</v>
      </c>
      <c r="AA27" s="114">
        <v>0</v>
      </c>
      <c r="AB27" s="114">
        <v>0</v>
      </c>
      <c r="AC27" s="114">
        <v>0</v>
      </c>
      <c r="AD27" s="114">
        <v>0</v>
      </c>
      <c r="AE27" s="114">
        <v>0</v>
      </c>
      <c r="AF27" s="114">
        <v>0</v>
      </c>
      <c r="AG27" s="114">
        <v>0</v>
      </c>
      <c r="AH27" s="114">
        <v>0</v>
      </c>
      <c r="AI27" s="114">
        <v>0</v>
      </c>
      <c r="AJ27" s="114">
        <v>0</v>
      </c>
      <c r="AK27" s="114">
        <v>0</v>
      </c>
      <c r="AL27" s="114">
        <v>15.9995962138726</v>
      </c>
      <c r="AM27" s="114">
        <v>0</v>
      </c>
      <c r="AN27" s="114">
        <v>192.021128593539</v>
      </c>
      <c r="AO27" s="114">
        <v>0</v>
      </c>
      <c r="AP27" s="114">
        <v>0</v>
      </c>
      <c r="AQ27" s="114">
        <v>0</v>
      </c>
      <c r="AR27" s="114">
        <v>0</v>
      </c>
      <c r="AS27" s="114">
        <v>0</v>
      </c>
      <c r="AT27" s="115">
        <v>0</v>
      </c>
    </row>
    <row r="28" spans="2:46" ht="12" customHeight="1" x14ac:dyDescent="0.3">
      <c r="B28" s="113" t="s">
        <v>39</v>
      </c>
      <c r="C28" s="114" t="s">
        <v>82</v>
      </c>
      <c r="D28" s="114" t="s">
        <v>40</v>
      </c>
      <c r="E28" s="114" t="s">
        <v>85</v>
      </c>
      <c r="F28" s="114" t="s">
        <v>25</v>
      </c>
      <c r="G28" s="114" t="s">
        <v>35</v>
      </c>
      <c r="H28" s="114" t="s">
        <v>68</v>
      </c>
      <c r="I28" s="114" t="s">
        <v>25</v>
      </c>
      <c r="J28" s="114">
        <v>929.68</v>
      </c>
      <c r="K28" s="114">
        <v>195.54</v>
      </c>
      <c r="L28" s="114">
        <v>0</v>
      </c>
      <c r="M28" s="114">
        <v>0.81218596412781796</v>
      </c>
      <c r="N28" s="114">
        <v>0</v>
      </c>
      <c r="O28" s="114">
        <v>0</v>
      </c>
      <c r="P28" s="114">
        <v>0</v>
      </c>
      <c r="Q28" s="114">
        <v>84.579666402285298</v>
      </c>
      <c r="R28" s="114">
        <v>13.365639925736501</v>
      </c>
      <c r="S28" s="114">
        <v>0</v>
      </c>
      <c r="T28" s="114">
        <v>0</v>
      </c>
      <c r="U28" s="114">
        <v>0</v>
      </c>
      <c r="V28" s="114">
        <v>0</v>
      </c>
      <c r="W28" s="114">
        <v>0</v>
      </c>
      <c r="X28" s="114">
        <v>276.44644914942398</v>
      </c>
      <c r="Y28" s="114">
        <v>0</v>
      </c>
      <c r="Z28" s="114">
        <v>0</v>
      </c>
      <c r="AA28" s="114">
        <v>538.57113335172903</v>
      </c>
      <c r="AB28" s="114">
        <v>0</v>
      </c>
      <c r="AC28" s="114">
        <v>0</v>
      </c>
      <c r="AD28" s="114">
        <v>0</v>
      </c>
      <c r="AE28" s="114">
        <v>15.903437646968101</v>
      </c>
      <c r="AF28" s="114">
        <v>0</v>
      </c>
      <c r="AG28" s="114">
        <v>0</v>
      </c>
      <c r="AH28" s="114">
        <v>0</v>
      </c>
      <c r="AI28" s="114">
        <v>0</v>
      </c>
      <c r="AJ28" s="114">
        <v>0</v>
      </c>
      <c r="AK28" s="114">
        <v>0</v>
      </c>
      <c r="AL28" s="114">
        <v>15.039620441040199</v>
      </c>
      <c r="AM28" s="114">
        <v>0</v>
      </c>
      <c r="AN28" s="114">
        <v>180.49986087792701</v>
      </c>
      <c r="AO28" s="114">
        <v>0</v>
      </c>
      <c r="AP28" s="114">
        <v>0</v>
      </c>
      <c r="AQ28" s="114">
        <v>0</v>
      </c>
      <c r="AR28" s="114">
        <v>0</v>
      </c>
      <c r="AS28" s="114">
        <v>0</v>
      </c>
      <c r="AT28" s="115">
        <v>0</v>
      </c>
    </row>
    <row r="29" spans="2:46" ht="12" customHeight="1" x14ac:dyDescent="0.3">
      <c r="B29" s="113" t="s">
        <v>39</v>
      </c>
      <c r="C29" s="114" t="s">
        <v>82</v>
      </c>
      <c r="D29" s="114" t="s">
        <v>40</v>
      </c>
      <c r="E29" s="114" t="s">
        <v>85</v>
      </c>
      <c r="F29" s="114" t="s">
        <v>25</v>
      </c>
      <c r="G29" s="114" t="s">
        <v>514</v>
      </c>
      <c r="H29" s="114" t="s">
        <v>68</v>
      </c>
      <c r="I29" s="114" t="s">
        <v>25</v>
      </c>
      <c r="J29" s="114">
        <v>603.65</v>
      </c>
      <c r="K29" s="114">
        <v>195.54</v>
      </c>
      <c r="L29" s="114">
        <v>0</v>
      </c>
      <c r="M29" s="114">
        <v>0.81218596412781796</v>
      </c>
      <c r="N29" s="114">
        <v>0</v>
      </c>
      <c r="O29" s="114">
        <v>0</v>
      </c>
      <c r="P29" s="114">
        <v>0</v>
      </c>
      <c r="Q29" s="114">
        <v>84.579666402285298</v>
      </c>
      <c r="R29" s="114">
        <v>13.365639925736501</v>
      </c>
      <c r="S29" s="114">
        <v>0</v>
      </c>
      <c r="T29" s="114">
        <v>0</v>
      </c>
      <c r="U29" s="114">
        <v>0</v>
      </c>
      <c r="V29" s="114">
        <v>0</v>
      </c>
      <c r="W29" s="114">
        <v>0</v>
      </c>
      <c r="X29" s="114">
        <v>165.849372772409</v>
      </c>
      <c r="Y29" s="114">
        <v>0</v>
      </c>
      <c r="Z29" s="114">
        <v>0</v>
      </c>
      <c r="AA29" s="114">
        <v>323.14257055040298</v>
      </c>
      <c r="AB29" s="114">
        <v>0</v>
      </c>
      <c r="AC29" s="114">
        <v>0</v>
      </c>
      <c r="AD29" s="114">
        <v>0</v>
      </c>
      <c r="AE29" s="114">
        <v>15.903437646968101</v>
      </c>
      <c r="AF29" s="114">
        <v>0</v>
      </c>
      <c r="AG29" s="114">
        <v>0</v>
      </c>
      <c r="AH29" s="114">
        <v>0</v>
      </c>
      <c r="AI29" s="114">
        <v>0</v>
      </c>
      <c r="AJ29" s="114">
        <v>0</v>
      </c>
      <c r="AK29" s="114">
        <v>0</v>
      </c>
      <c r="AL29" s="114">
        <v>15.039620441040199</v>
      </c>
      <c r="AM29" s="114">
        <v>0</v>
      </c>
      <c r="AN29" s="114">
        <v>180.49986087792701</v>
      </c>
      <c r="AO29" s="114">
        <v>0</v>
      </c>
      <c r="AP29" s="114">
        <v>0</v>
      </c>
      <c r="AQ29" s="114">
        <v>0</v>
      </c>
      <c r="AR29" s="114">
        <v>0</v>
      </c>
      <c r="AS29" s="114">
        <v>0</v>
      </c>
      <c r="AT29" s="115">
        <v>0</v>
      </c>
    </row>
    <row r="30" spans="2:46" ht="12" customHeight="1" x14ac:dyDescent="0.3">
      <c r="B30" s="113" t="s">
        <v>39</v>
      </c>
      <c r="C30" s="114" t="s">
        <v>82</v>
      </c>
      <c r="D30" s="114" t="s">
        <v>40</v>
      </c>
      <c r="E30" s="114" t="s">
        <v>85</v>
      </c>
      <c r="F30" s="114" t="s">
        <v>25</v>
      </c>
      <c r="G30" s="114" t="s">
        <v>36</v>
      </c>
      <c r="H30" s="114" t="s">
        <v>68</v>
      </c>
      <c r="I30" s="114" t="s">
        <v>25</v>
      </c>
      <c r="J30" s="114">
        <v>277.63</v>
      </c>
      <c r="K30" s="114">
        <v>195.54</v>
      </c>
      <c r="L30" s="114">
        <v>0</v>
      </c>
      <c r="M30" s="114">
        <v>0.81218596412781796</v>
      </c>
      <c r="N30" s="114">
        <v>0</v>
      </c>
      <c r="O30" s="114">
        <v>0</v>
      </c>
      <c r="P30" s="114">
        <v>0</v>
      </c>
      <c r="Q30" s="114">
        <v>84.579666402285298</v>
      </c>
      <c r="R30" s="114">
        <v>13.365639925736501</v>
      </c>
      <c r="S30" s="114">
        <v>0</v>
      </c>
      <c r="T30" s="114">
        <v>0</v>
      </c>
      <c r="U30" s="114">
        <v>0</v>
      </c>
      <c r="V30" s="114">
        <v>0</v>
      </c>
      <c r="W30" s="114">
        <v>0</v>
      </c>
      <c r="X30" s="114">
        <v>55.2522963953949</v>
      </c>
      <c r="Y30" s="114">
        <v>0</v>
      </c>
      <c r="Z30" s="114">
        <v>0</v>
      </c>
      <c r="AA30" s="114">
        <v>107.71419018346801</v>
      </c>
      <c r="AB30" s="114">
        <v>0</v>
      </c>
      <c r="AC30" s="114">
        <v>0</v>
      </c>
      <c r="AD30" s="114">
        <v>0</v>
      </c>
      <c r="AE30" s="114">
        <v>15.903437646968101</v>
      </c>
      <c r="AF30" s="114">
        <v>0</v>
      </c>
      <c r="AG30" s="114">
        <v>0</v>
      </c>
      <c r="AH30" s="114">
        <v>0</v>
      </c>
      <c r="AI30" s="114">
        <v>0</v>
      </c>
      <c r="AJ30" s="114">
        <v>0</v>
      </c>
      <c r="AK30" s="114">
        <v>0</v>
      </c>
      <c r="AL30" s="114">
        <v>15.039620441040199</v>
      </c>
      <c r="AM30" s="114">
        <v>0</v>
      </c>
      <c r="AN30" s="114">
        <v>180.49986087792701</v>
      </c>
      <c r="AO30" s="114">
        <v>0</v>
      </c>
      <c r="AP30" s="114">
        <v>0</v>
      </c>
      <c r="AQ30" s="114">
        <v>0</v>
      </c>
      <c r="AR30" s="114">
        <v>0</v>
      </c>
      <c r="AS30" s="114">
        <v>0</v>
      </c>
      <c r="AT30" s="115">
        <v>0</v>
      </c>
    </row>
    <row r="31" spans="2:46" ht="12" customHeight="1" x14ac:dyDescent="0.3">
      <c r="B31" s="113" t="s">
        <v>39</v>
      </c>
      <c r="C31" s="114" t="s">
        <v>82</v>
      </c>
      <c r="D31" s="114" t="s">
        <v>40</v>
      </c>
      <c r="E31" s="114" t="s">
        <v>25</v>
      </c>
      <c r="F31" s="114" t="s">
        <v>25</v>
      </c>
      <c r="G31" s="114" t="s">
        <v>35</v>
      </c>
      <c r="H31" s="114" t="s">
        <v>68</v>
      </c>
      <c r="I31" s="114" t="s">
        <v>25</v>
      </c>
      <c r="J31" s="114">
        <v>929.68</v>
      </c>
      <c r="K31" s="114">
        <v>195.54</v>
      </c>
      <c r="L31" s="114">
        <v>0</v>
      </c>
      <c r="M31" s="114">
        <v>0.81218596412781796</v>
      </c>
      <c r="N31" s="114">
        <v>0</v>
      </c>
      <c r="O31" s="114">
        <v>0</v>
      </c>
      <c r="P31" s="114">
        <v>0</v>
      </c>
      <c r="Q31" s="114">
        <v>84.579666402285298</v>
      </c>
      <c r="R31" s="114">
        <v>13.365639925736501</v>
      </c>
      <c r="S31" s="114">
        <v>0</v>
      </c>
      <c r="T31" s="114">
        <v>0</v>
      </c>
      <c r="U31" s="114">
        <v>0</v>
      </c>
      <c r="V31" s="114">
        <v>0</v>
      </c>
      <c r="W31" s="114">
        <v>0</v>
      </c>
      <c r="X31" s="114">
        <v>276.44644914942398</v>
      </c>
      <c r="Y31" s="114">
        <v>0</v>
      </c>
      <c r="Z31" s="114">
        <v>0</v>
      </c>
      <c r="AA31" s="114">
        <v>538.57113335172903</v>
      </c>
      <c r="AB31" s="114">
        <v>0</v>
      </c>
      <c r="AC31" s="114">
        <v>0</v>
      </c>
      <c r="AD31" s="114">
        <v>0</v>
      </c>
      <c r="AE31" s="114">
        <v>15.903437646968101</v>
      </c>
      <c r="AF31" s="114">
        <v>0</v>
      </c>
      <c r="AG31" s="114">
        <v>0</v>
      </c>
      <c r="AH31" s="114">
        <v>0</v>
      </c>
      <c r="AI31" s="114">
        <v>0</v>
      </c>
      <c r="AJ31" s="114">
        <v>0</v>
      </c>
      <c r="AK31" s="114">
        <v>0</v>
      </c>
      <c r="AL31" s="114">
        <v>15.039620441040199</v>
      </c>
      <c r="AM31" s="114">
        <v>0</v>
      </c>
      <c r="AN31" s="114">
        <v>180.49986087792701</v>
      </c>
      <c r="AO31" s="114">
        <v>0</v>
      </c>
      <c r="AP31" s="114">
        <v>0</v>
      </c>
      <c r="AQ31" s="114">
        <v>0</v>
      </c>
      <c r="AR31" s="114">
        <v>0</v>
      </c>
      <c r="AS31" s="114">
        <v>0</v>
      </c>
      <c r="AT31" s="115">
        <v>0</v>
      </c>
    </row>
    <row r="32" spans="2:46" ht="12" customHeight="1" x14ac:dyDescent="0.3">
      <c r="B32" s="113" t="s">
        <v>39</v>
      </c>
      <c r="C32" s="114" t="s">
        <v>82</v>
      </c>
      <c r="D32" s="114" t="s">
        <v>40</v>
      </c>
      <c r="E32" s="114" t="s">
        <v>25</v>
      </c>
      <c r="F32" s="114" t="s">
        <v>25</v>
      </c>
      <c r="G32" s="114" t="s">
        <v>514</v>
      </c>
      <c r="H32" s="114" t="s">
        <v>68</v>
      </c>
      <c r="I32" s="114" t="s">
        <v>25</v>
      </c>
      <c r="J32" s="114">
        <v>603.65</v>
      </c>
      <c r="K32" s="114">
        <v>195.54</v>
      </c>
      <c r="L32" s="114">
        <v>0</v>
      </c>
      <c r="M32" s="114">
        <v>0.81218596412781796</v>
      </c>
      <c r="N32" s="114">
        <v>0</v>
      </c>
      <c r="O32" s="114">
        <v>0</v>
      </c>
      <c r="P32" s="114">
        <v>0</v>
      </c>
      <c r="Q32" s="114">
        <v>84.579666402285298</v>
      </c>
      <c r="R32" s="114">
        <v>13.365639925736501</v>
      </c>
      <c r="S32" s="114">
        <v>0</v>
      </c>
      <c r="T32" s="114">
        <v>0</v>
      </c>
      <c r="U32" s="114">
        <v>0</v>
      </c>
      <c r="V32" s="114">
        <v>0</v>
      </c>
      <c r="W32" s="114">
        <v>0</v>
      </c>
      <c r="X32" s="114">
        <v>165.849372772409</v>
      </c>
      <c r="Y32" s="114">
        <v>0</v>
      </c>
      <c r="Z32" s="114">
        <v>0</v>
      </c>
      <c r="AA32" s="114">
        <v>323.14257055040298</v>
      </c>
      <c r="AB32" s="114">
        <v>0</v>
      </c>
      <c r="AC32" s="114">
        <v>0</v>
      </c>
      <c r="AD32" s="114">
        <v>0</v>
      </c>
      <c r="AE32" s="114">
        <v>15.903437646968101</v>
      </c>
      <c r="AF32" s="114">
        <v>0</v>
      </c>
      <c r="AG32" s="114">
        <v>0</v>
      </c>
      <c r="AH32" s="114">
        <v>0</v>
      </c>
      <c r="AI32" s="114">
        <v>0</v>
      </c>
      <c r="AJ32" s="114">
        <v>0</v>
      </c>
      <c r="AK32" s="114">
        <v>0</v>
      </c>
      <c r="AL32" s="114">
        <v>15.039620441040199</v>
      </c>
      <c r="AM32" s="114">
        <v>0</v>
      </c>
      <c r="AN32" s="114">
        <v>180.49986087792701</v>
      </c>
      <c r="AO32" s="114">
        <v>0</v>
      </c>
      <c r="AP32" s="114">
        <v>0</v>
      </c>
      <c r="AQ32" s="114">
        <v>0</v>
      </c>
      <c r="AR32" s="114">
        <v>0</v>
      </c>
      <c r="AS32" s="114">
        <v>0</v>
      </c>
      <c r="AT32" s="115">
        <v>0</v>
      </c>
    </row>
    <row r="33" spans="2:46" ht="12" customHeight="1" x14ac:dyDescent="0.3">
      <c r="B33" s="113" t="s">
        <v>39</v>
      </c>
      <c r="C33" s="114" t="s">
        <v>82</v>
      </c>
      <c r="D33" s="114" t="s">
        <v>40</v>
      </c>
      <c r="E33" s="114" t="s">
        <v>25</v>
      </c>
      <c r="F33" s="114" t="s">
        <v>25</v>
      </c>
      <c r="G33" s="114" t="s">
        <v>36</v>
      </c>
      <c r="H33" s="114" t="s">
        <v>68</v>
      </c>
      <c r="I33" s="114" t="s">
        <v>25</v>
      </c>
      <c r="J33" s="114">
        <v>277.63</v>
      </c>
      <c r="K33" s="114">
        <v>195.54</v>
      </c>
      <c r="L33" s="114">
        <v>0</v>
      </c>
      <c r="M33" s="114">
        <v>0.81218596412781796</v>
      </c>
      <c r="N33" s="114">
        <v>0</v>
      </c>
      <c r="O33" s="114">
        <v>0</v>
      </c>
      <c r="P33" s="114">
        <v>0</v>
      </c>
      <c r="Q33" s="114">
        <v>84.579666402285298</v>
      </c>
      <c r="R33" s="114">
        <v>13.365639925736501</v>
      </c>
      <c r="S33" s="114">
        <v>0</v>
      </c>
      <c r="T33" s="114">
        <v>0</v>
      </c>
      <c r="U33" s="114">
        <v>0</v>
      </c>
      <c r="V33" s="114">
        <v>0</v>
      </c>
      <c r="W33" s="114">
        <v>0</v>
      </c>
      <c r="X33" s="114">
        <v>55.2522963953949</v>
      </c>
      <c r="Y33" s="114">
        <v>0</v>
      </c>
      <c r="Z33" s="114">
        <v>0</v>
      </c>
      <c r="AA33" s="114">
        <v>107.71419018346801</v>
      </c>
      <c r="AB33" s="114">
        <v>0</v>
      </c>
      <c r="AC33" s="114">
        <v>0</v>
      </c>
      <c r="AD33" s="114">
        <v>0</v>
      </c>
      <c r="AE33" s="114">
        <v>15.903437646968101</v>
      </c>
      <c r="AF33" s="114">
        <v>0</v>
      </c>
      <c r="AG33" s="114">
        <v>0</v>
      </c>
      <c r="AH33" s="114">
        <v>0</v>
      </c>
      <c r="AI33" s="114">
        <v>0</v>
      </c>
      <c r="AJ33" s="114">
        <v>0</v>
      </c>
      <c r="AK33" s="114">
        <v>0</v>
      </c>
      <c r="AL33" s="114">
        <v>15.039620441040199</v>
      </c>
      <c r="AM33" s="114">
        <v>0</v>
      </c>
      <c r="AN33" s="114">
        <v>180.49986087792701</v>
      </c>
      <c r="AO33" s="114">
        <v>0</v>
      </c>
      <c r="AP33" s="114">
        <v>0</v>
      </c>
      <c r="AQ33" s="114">
        <v>0</v>
      </c>
      <c r="AR33" s="114">
        <v>0</v>
      </c>
      <c r="AS33" s="114">
        <v>0</v>
      </c>
      <c r="AT33" s="115">
        <v>0</v>
      </c>
    </row>
    <row r="34" spans="2:46" ht="12" customHeight="1" x14ac:dyDescent="0.3">
      <c r="B34" s="113" t="s">
        <v>39</v>
      </c>
      <c r="C34" s="114" t="s">
        <v>82</v>
      </c>
      <c r="D34" s="114" t="s">
        <v>40</v>
      </c>
      <c r="E34" s="114" t="s">
        <v>86</v>
      </c>
      <c r="F34" s="114" t="s">
        <v>25</v>
      </c>
      <c r="G34" s="114" t="s">
        <v>35</v>
      </c>
      <c r="H34" s="114" t="s">
        <v>68</v>
      </c>
      <c r="I34" s="114" t="s">
        <v>25</v>
      </c>
      <c r="J34" s="114">
        <v>909.9</v>
      </c>
      <c r="K34" s="114">
        <v>191.38</v>
      </c>
      <c r="L34" s="114">
        <v>0</v>
      </c>
      <c r="M34" s="114">
        <v>0.79490541169956697</v>
      </c>
      <c r="N34" s="114">
        <v>0</v>
      </c>
      <c r="O34" s="114">
        <v>0</v>
      </c>
      <c r="P34" s="114">
        <v>0</v>
      </c>
      <c r="Q34" s="114">
        <v>82.780099032023898</v>
      </c>
      <c r="R34" s="114">
        <v>13.081264608167601</v>
      </c>
      <c r="S34" s="114">
        <v>0</v>
      </c>
      <c r="T34" s="114">
        <v>0</v>
      </c>
      <c r="U34" s="114">
        <v>0</v>
      </c>
      <c r="V34" s="114">
        <v>0</v>
      </c>
      <c r="W34" s="114">
        <v>0</v>
      </c>
      <c r="X34" s="114">
        <v>270.56460980581898</v>
      </c>
      <c r="Y34" s="114">
        <v>0</v>
      </c>
      <c r="Z34" s="114">
        <v>0</v>
      </c>
      <c r="AA34" s="114">
        <v>527.11217306765002</v>
      </c>
      <c r="AB34" s="114">
        <v>0</v>
      </c>
      <c r="AC34" s="114">
        <v>0</v>
      </c>
      <c r="AD34" s="114">
        <v>0</v>
      </c>
      <c r="AE34" s="114">
        <v>15.5650666332028</v>
      </c>
      <c r="AF34" s="114">
        <v>0</v>
      </c>
      <c r="AG34" s="114">
        <v>0</v>
      </c>
      <c r="AH34" s="114">
        <v>0</v>
      </c>
      <c r="AI34" s="114">
        <v>0</v>
      </c>
      <c r="AJ34" s="114">
        <v>0</v>
      </c>
      <c r="AK34" s="114">
        <v>0</v>
      </c>
      <c r="AL34" s="114">
        <v>14.7196285167628</v>
      </c>
      <c r="AM34" s="114">
        <v>0</v>
      </c>
      <c r="AN34" s="114">
        <v>176.65943830605599</v>
      </c>
      <c r="AO34" s="114">
        <v>0</v>
      </c>
      <c r="AP34" s="114">
        <v>0</v>
      </c>
      <c r="AQ34" s="114">
        <v>0</v>
      </c>
      <c r="AR34" s="114">
        <v>0</v>
      </c>
      <c r="AS34" s="114">
        <v>0</v>
      </c>
      <c r="AT34" s="115">
        <v>0</v>
      </c>
    </row>
    <row r="35" spans="2:46" ht="12" customHeight="1" x14ac:dyDescent="0.3">
      <c r="B35" s="113" t="s">
        <v>39</v>
      </c>
      <c r="C35" s="114" t="s">
        <v>82</v>
      </c>
      <c r="D35" s="114" t="s">
        <v>40</v>
      </c>
      <c r="E35" s="114" t="s">
        <v>86</v>
      </c>
      <c r="F35" s="114" t="s">
        <v>25</v>
      </c>
      <c r="G35" s="114" t="s">
        <v>514</v>
      </c>
      <c r="H35" s="114" t="s">
        <v>68</v>
      </c>
      <c r="I35" s="114" t="s">
        <v>25</v>
      </c>
      <c r="J35" s="114">
        <v>590.80999999999995</v>
      </c>
      <c r="K35" s="114">
        <v>191.38</v>
      </c>
      <c r="L35" s="114">
        <v>0</v>
      </c>
      <c r="M35" s="114">
        <v>0.79490541169956697</v>
      </c>
      <c r="N35" s="114">
        <v>0</v>
      </c>
      <c r="O35" s="114">
        <v>0</v>
      </c>
      <c r="P35" s="114">
        <v>0</v>
      </c>
      <c r="Q35" s="114">
        <v>82.780099032023898</v>
      </c>
      <c r="R35" s="114">
        <v>13.081264608167601</v>
      </c>
      <c r="S35" s="114">
        <v>0</v>
      </c>
      <c r="T35" s="114">
        <v>0</v>
      </c>
      <c r="U35" s="114">
        <v>0</v>
      </c>
      <c r="V35" s="114">
        <v>0</v>
      </c>
      <c r="W35" s="114">
        <v>0</v>
      </c>
      <c r="X35" s="114">
        <v>162.320662713422</v>
      </c>
      <c r="Y35" s="114">
        <v>0</v>
      </c>
      <c r="Z35" s="114">
        <v>0</v>
      </c>
      <c r="AA35" s="114">
        <v>316.26719670890498</v>
      </c>
      <c r="AB35" s="114">
        <v>0</v>
      </c>
      <c r="AC35" s="114">
        <v>0</v>
      </c>
      <c r="AD35" s="114">
        <v>0</v>
      </c>
      <c r="AE35" s="114">
        <v>15.5650666332028</v>
      </c>
      <c r="AF35" s="114">
        <v>0</v>
      </c>
      <c r="AG35" s="114">
        <v>0</v>
      </c>
      <c r="AH35" s="114">
        <v>0</v>
      </c>
      <c r="AI35" s="114">
        <v>0</v>
      </c>
      <c r="AJ35" s="114">
        <v>0</v>
      </c>
      <c r="AK35" s="114">
        <v>0</v>
      </c>
      <c r="AL35" s="114">
        <v>14.7196285167628</v>
      </c>
      <c r="AM35" s="114">
        <v>0</v>
      </c>
      <c r="AN35" s="114">
        <v>176.65943830605599</v>
      </c>
      <c r="AO35" s="114">
        <v>0</v>
      </c>
      <c r="AP35" s="114">
        <v>0</v>
      </c>
      <c r="AQ35" s="114">
        <v>0</v>
      </c>
      <c r="AR35" s="114">
        <v>0</v>
      </c>
      <c r="AS35" s="114">
        <v>0</v>
      </c>
      <c r="AT35" s="115">
        <v>0</v>
      </c>
    </row>
    <row r="36" spans="2:46" ht="12" customHeight="1" x14ac:dyDescent="0.3">
      <c r="B36" s="113" t="s">
        <v>39</v>
      </c>
      <c r="C36" s="114" t="s">
        <v>82</v>
      </c>
      <c r="D36" s="114" t="s">
        <v>40</v>
      </c>
      <c r="E36" s="114" t="s">
        <v>86</v>
      </c>
      <c r="F36" s="114" t="s">
        <v>25</v>
      </c>
      <c r="G36" s="114" t="s">
        <v>36</v>
      </c>
      <c r="H36" s="114" t="s">
        <v>68</v>
      </c>
      <c r="I36" s="114" t="s">
        <v>25</v>
      </c>
      <c r="J36" s="114">
        <v>271.72000000000003</v>
      </c>
      <c r="K36" s="114">
        <v>191.38</v>
      </c>
      <c r="L36" s="114">
        <v>0</v>
      </c>
      <c r="M36" s="114">
        <v>0.79490541169956697</v>
      </c>
      <c r="N36" s="114">
        <v>0</v>
      </c>
      <c r="O36" s="114">
        <v>0</v>
      </c>
      <c r="P36" s="114">
        <v>0</v>
      </c>
      <c r="Q36" s="114">
        <v>82.780099032023898</v>
      </c>
      <c r="R36" s="114">
        <v>13.081264608167601</v>
      </c>
      <c r="S36" s="114">
        <v>0</v>
      </c>
      <c r="T36" s="114">
        <v>0</v>
      </c>
      <c r="U36" s="114">
        <v>0</v>
      </c>
      <c r="V36" s="114">
        <v>0</v>
      </c>
      <c r="W36" s="114">
        <v>0</v>
      </c>
      <c r="X36" s="114">
        <v>54.076715621024803</v>
      </c>
      <c r="Y36" s="114">
        <v>0</v>
      </c>
      <c r="Z36" s="114">
        <v>0</v>
      </c>
      <c r="AA36" s="114">
        <v>105.422398902968</v>
      </c>
      <c r="AB36" s="114">
        <v>0</v>
      </c>
      <c r="AC36" s="114">
        <v>0</v>
      </c>
      <c r="AD36" s="114">
        <v>0</v>
      </c>
      <c r="AE36" s="114">
        <v>15.5650666332028</v>
      </c>
      <c r="AF36" s="114">
        <v>0</v>
      </c>
      <c r="AG36" s="114">
        <v>0</v>
      </c>
      <c r="AH36" s="114">
        <v>0</v>
      </c>
      <c r="AI36" s="114">
        <v>0</v>
      </c>
      <c r="AJ36" s="114">
        <v>0</v>
      </c>
      <c r="AK36" s="114">
        <v>0</v>
      </c>
      <c r="AL36" s="114">
        <v>14.7196285167628</v>
      </c>
      <c r="AM36" s="114">
        <v>0</v>
      </c>
      <c r="AN36" s="114">
        <v>176.65943830605599</v>
      </c>
      <c r="AO36" s="114">
        <v>0</v>
      </c>
      <c r="AP36" s="114">
        <v>0</v>
      </c>
      <c r="AQ36" s="114">
        <v>0</v>
      </c>
      <c r="AR36" s="114">
        <v>0</v>
      </c>
      <c r="AS36" s="114">
        <v>0</v>
      </c>
      <c r="AT36" s="115">
        <v>0</v>
      </c>
    </row>
    <row r="37" spans="2:46" ht="12" customHeight="1" x14ac:dyDescent="0.3">
      <c r="B37" s="113" t="s">
        <v>39</v>
      </c>
      <c r="C37" s="114" t="s">
        <v>23</v>
      </c>
      <c r="D37" s="114" t="s">
        <v>40</v>
      </c>
      <c r="E37" s="114" t="s">
        <v>85</v>
      </c>
      <c r="F37" s="114" t="s">
        <v>25</v>
      </c>
      <c r="G37" s="114" t="s">
        <v>25</v>
      </c>
      <c r="H37" s="114" t="s">
        <v>68</v>
      </c>
      <c r="I37" s="114" t="s">
        <v>25</v>
      </c>
      <c r="J37" s="114">
        <v>390.93</v>
      </c>
      <c r="K37" s="114">
        <v>195.54</v>
      </c>
      <c r="L37" s="114">
        <v>0</v>
      </c>
      <c r="M37" s="114">
        <v>0.81218596412781796</v>
      </c>
      <c r="N37" s="114">
        <v>0</v>
      </c>
      <c r="O37" s="114">
        <v>0</v>
      </c>
      <c r="P37" s="114">
        <v>0</v>
      </c>
      <c r="Q37" s="114">
        <v>84.579666402285298</v>
      </c>
      <c r="R37" s="114">
        <v>13.365639925736501</v>
      </c>
      <c r="S37" s="114">
        <v>0</v>
      </c>
      <c r="T37" s="114">
        <v>0</v>
      </c>
      <c r="U37" s="114">
        <v>0</v>
      </c>
      <c r="V37" s="114">
        <v>0</v>
      </c>
      <c r="W37" s="114">
        <v>0</v>
      </c>
      <c r="X37" s="114">
        <v>93.706801853020394</v>
      </c>
      <c r="Y37" s="114">
        <v>0</v>
      </c>
      <c r="Z37" s="114">
        <v>0</v>
      </c>
      <c r="AA37" s="114">
        <v>182.56647351350901</v>
      </c>
      <c r="AB37" s="114">
        <v>0</v>
      </c>
      <c r="AC37" s="114">
        <v>0</v>
      </c>
      <c r="AD37" s="114">
        <v>0</v>
      </c>
      <c r="AE37" s="114">
        <v>15.903437646968101</v>
      </c>
      <c r="AF37" s="114">
        <v>0</v>
      </c>
      <c r="AG37" s="114">
        <v>0</v>
      </c>
      <c r="AH37" s="114">
        <v>0</v>
      </c>
      <c r="AI37" s="114">
        <v>0</v>
      </c>
      <c r="AJ37" s="114">
        <v>0</v>
      </c>
      <c r="AK37" s="114">
        <v>0</v>
      </c>
      <c r="AL37" s="114">
        <v>15.039620441040199</v>
      </c>
      <c r="AM37" s="114">
        <v>0</v>
      </c>
      <c r="AN37" s="114">
        <v>180.49986087792701</v>
      </c>
      <c r="AO37" s="114">
        <v>0</v>
      </c>
      <c r="AP37" s="114">
        <v>0</v>
      </c>
      <c r="AQ37" s="114">
        <v>0</v>
      </c>
      <c r="AR37" s="114">
        <v>0</v>
      </c>
      <c r="AS37" s="114">
        <v>0</v>
      </c>
      <c r="AT37" s="115">
        <v>0</v>
      </c>
    </row>
    <row r="38" spans="2:46" ht="12" customHeight="1" x14ac:dyDescent="0.3">
      <c r="B38" s="113" t="s">
        <v>39</v>
      </c>
      <c r="C38" s="114" t="s">
        <v>23</v>
      </c>
      <c r="D38" s="114" t="s">
        <v>40</v>
      </c>
      <c r="E38" s="114" t="s">
        <v>25</v>
      </c>
      <c r="F38" s="114" t="s">
        <v>25</v>
      </c>
      <c r="G38" s="114" t="s">
        <v>25</v>
      </c>
      <c r="H38" s="114" t="s">
        <v>68</v>
      </c>
      <c r="I38" s="114" t="s">
        <v>25</v>
      </c>
      <c r="J38" s="114">
        <v>390.93</v>
      </c>
      <c r="K38" s="114">
        <v>195.54</v>
      </c>
      <c r="L38" s="114">
        <v>0</v>
      </c>
      <c r="M38" s="114">
        <v>0.81218596412781796</v>
      </c>
      <c r="N38" s="114">
        <v>0</v>
      </c>
      <c r="O38" s="114">
        <v>0</v>
      </c>
      <c r="P38" s="114">
        <v>0</v>
      </c>
      <c r="Q38" s="114">
        <v>84.579666402285298</v>
      </c>
      <c r="R38" s="114">
        <v>13.365639925736501</v>
      </c>
      <c r="S38" s="114">
        <v>0</v>
      </c>
      <c r="T38" s="114">
        <v>0</v>
      </c>
      <c r="U38" s="114">
        <v>0</v>
      </c>
      <c r="V38" s="114">
        <v>0</v>
      </c>
      <c r="W38" s="114">
        <v>0</v>
      </c>
      <c r="X38" s="114">
        <v>93.706801853020394</v>
      </c>
      <c r="Y38" s="114">
        <v>0</v>
      </c>
      <c r="Z38" s="114">
        <v>0</v>
      </c>
      <c r="AA38" s="114">
        <v>182.56647351350901</v>
      </c>
      <c r="AB38" s="114">
        <v>0</v>
      </c>
      <c r="AC38" s="114">
        <v>0</v>
      </c>
      <c r="AD38" s="114">
        <v>0</v>
      </c>
      <c r="AE38" s="114">
        <v>15.903437646968101</v>
      </c>
      <c r="AF38" s="114">
        <v>0</v>
      </c>
      <c r="AG38" s="114">
        <v>0</v>
      </c>
      <c r="AH38" s="114">
        <v>0</v>
      </c>
      <c r="AI38" s="114">
        <v>0</v>
      </c>
      <c r="AJ38" s="114">
        <v>0</v>
      </c>
      <c r="AK38" s="114">
        <v>0</v>
      </c>
      <c r="AL38" s="114">
        <v>15.039620441040199</v>
      </c>
      <c r="AM38" s="114">
        <v>0</v>
      </c>
      <c r="AN38" s="114">
        <v>180.49986087792701</v>
      </c>
      <c r="AO38" s="114">
        <v>0</v>
      </c>
      <c r="AP38" s="114">
        <v>0</v>
      </c>
      <c r="AQ38" s="114">
        <v>0</v>
      </c>
      <c r="AR38" s="114">
        <v>0</v>
      </c>
      <c r="AS38" s="114">
        <v>0</v>
      </c>
      <c r="AT38" s="115">
        <v>0</v>
      </c>
    </row>
    <row r="39" spans="2:46" ht="12" customHeight="1" x14ac:dyDescent="0.3">
      <c r="B39" s="113" t="s">
        <v>39</v>
      </c>
      <c r="C39" s="114" t="s">
        <v>23</v>
      </c>
      <c r="D39" s="114" t="s">
        <v>40</v>
      </c>
      <c r="E39" s="114" t="s">
        <v>86</v>
      </c>
      <c r="F39" s="114" t="s">
        <v>25</v>
      </c>
      <c r="G39" s="114" t="s">
        <v>25</v>
      </c>
      <c r="H39" s="114" t="s">
        <v>68</v>
      </c>
      <c r="I39" s="114" t="s">
        <v>25</v>
      </c>
      <c r="J39" s="114">
        <v>382.62</v>
      </c>
      <c r="K39" s="114">
        <v>191.38</v>
      </c>
      <c r="L39" s="114">
        <v>0</v>
      </c>
      <c r="M39" s="114">
        <v>0.79490541169956697</v>
      </c>
      <c r="N39" s="114">
        <v>0</v>
      </c>
      <c r="O39" s="114">
        <v>0</v>
      </c>
      <c r="P39" s="114">
        <v>0</v>
      </c>
      <c r="Q39" s="114">
        <v>82.780099032023898</v>
      </c>
      <c r="R39" s="114">
        <v>13.081264608167601</v>
      </c>
      <c r="S39" s="114">
        <v>0</v>
      </c>
      <c r="T39" s="114">
        <v>0</v>
      </c>
      <c r="U39" s="114">
        <v>0</v>
      </c>
      <c r="V39" s="114">
        <v>0</v>
      </c>
      <c r="W39" s="114">
        <v>0</v>
      </c>
      <c r="X39" s="114">
        <v>91.713040111466796</v>
      </c>
      <c r="Y39" s="114">
        <v>0</v>
      </c>
      <c r="Z39" s="114">
        <v>0</v>
      </c>
      <c r="AA39" s="114">
        <v>178.68208046002999</v>
      </c>
      <c r="AB39" s="114">
        <v>0</v>
      </c>
      <c r="AC39" s="114">
        <v>0</v>
      </c>
      <c r="AD39" s="114">
        <v>0</v>
      </c>
      <c r="AE39" s="114">
        <v>15.5650666332028</v>
      </c>
      <c r="AF39" s="114">
        <v>0</v>
      </c>
      <c r="AG39" s="114">
        <v>0</v>
      </c>
      <c r="AH39" s="114">
        <v>0</v>
      </c>
      <c r="AI39" s="114">
        <v>0</v>
      </c>
      <c r="AJ39" s="114">
        <v>0</v>
      </c>
      <c r="AK39" s="114">
        <v>0</v>
      </c>
      <c r="AL39" s="114">
        <v>14.7196285167628</v>
      </c>
      <c r="AM39" s="114">
        <v>0</v>
      </c>
      <c r="AN39" s="114">
        <v>176.65943830605599</v>
      </c>
      <c r="AO39" s="114">
        <v>0</v>
      </c>
      <c r="AP39" s="114">
        <v>0</v>
      </c>
      <c r="AQ39" s="114">
        <v>0</v>
      </c>
      <c r="AR39" s="114">
        <v>0</v>
      </c>
      <c r="AS39" s="114">
        <v>0</v>
      </c>
      <c r="AT39" s="115">
        <v>0</v>
      </c>
    </row>
    <row r="40" spans="2:46" ht="12" customHeight="1" x14ac:dyDescent="0.3">
      <c r="B40" s="113" t="s">
        <v>39</v>
      </c>
      <c r="C40" s="114" t="s">
        <v>84</v>
      </c>
      <c r="D40" s="114" t="s">
        <v>40</v>
      </c>
      <c r="E40" s="114" t="s">
        <v>85</v>
      </c>
      <c r="F40" s="114" t="s">
        <v>25</v>
      </c>
      <c r="G40" s="114" t="s">
        <v>25</v>
      </c>
      <c r="H40" s="114" t="s">
        <v>68</v>
      </c>
      <c r="I40" s="114" t="s">
        <v>25</v>
      </c>
      <c r="J40" s="114">
        <v>390.93</v>
      </c>
      <c r="K40" s="114">
        <v>195.54</v>
      </c>
      <c r="L40" s="114">
        <v>0</v>
      </c>
      <c r="M40" s="114">
        <v>0.81218596412781796</v>
      </c>
      <c r="N40" s="114">
        <v>0</v>
      </c>
      <c r="O40" s="114">
        <v>0</v>
      </c>
      <c r="P40" s="114">
        <v>0</v>
      </c>
      <c r="Q40" s="114">
        <v>84.579666402285298</v>
      </c>
      <c r="R40" s="114">
        <v>13.365639925736501</v>
      </c>
      <c r="S40" s="114">
        <v>0</v>
      </c>
      <c r="T40" s="114">
        <v>0</v>
      </c>
      <c r="U40" s="114">
        <v>0</v>
      </c>
      <c r="V40" s="114">
        <v>0</v>
      </c>
      <c r="W40" s="114">
        <v>0</v>
      </c>
      <c r="X40" s="114">
        <v>93.706801853020394</v>
      </c>
      <c r="Y40" s="114">
        <v>0</v>
      </c>
      <c r="Z40" s="114">
        <v>0</v>
      </c>
      <c r="AA40" s="114">
        <v>182.56647351350901</v>
      </c>
      <c r="AB40" s="114">
        <v>0</v>
      </c>
      <c r="AC40" s="114">
        <v>0</v>
      </c>
      <c r="AD40" s="114">
        <v>0</v>
      </c>
      <c r="AE40" s="114">
        <v>15.903437646968101</v>
      </c>
      <c r="AF40" s="114">
        <v>0</v>
      </c>
      <c r="AG40" s="114">
        <v>0</v>
      </c>
      <c r="AH40" s="114">
        <v>0</v>
      </c>
      <c r="AI40" s="114">
        <v>0</v>
      </c>
      <c r="AJ40" s="114">
        <v>0</v>
      </c>
      <c r="AK40" s="114">
        <v>0</v>
      </c>
      <c r="AL40" s="114">
        <v>15.039620441040199</v>
      </c>
      <c r="AM40" s="114">
        <v>0</v>
      </c>
      <c r="AN40" s="114">
        <v>180.49986087792701</v>
      </c>
      <c r="AO40" s="114">
        <v>0</v>
      </c>
      <c r="AP40" s="114">
        <v>0</v>
      </c>
      <c r="AQ40" s="114">
        <v>0</v>
      </c>
      <c r="AR40" s="114">
        <v>0</v>
      </c>
      <c r="AS40" s="114">
        <v>0</v>
      </c>
      <c r="AT40" s="115">
        <v>0</v>
      </c>
    </row>
    <row r="41" spans="2:46" ht="12" customHeight="1" x14ac:dyDescent="0.3">
      <c r="B41" s="113" t="s">
        <v>39</v>
      </c>
      <c r="C41" s="114" t="s">
        <v>84</v>
      </c>
      <c r="D41" s="114" t="s">
        <v>40</v>
      </c>
      <c r="E41" s="114" t="s">
        <v>25</v>
      </c>
      <c r="F41" s="114" t="s">
        <v>25</v>
      </c>
      <c r="G41" s="114" t="s">
        <v>25</v>
      </c>
      <c r="H41" s="114" t="s">
        <v>68</v>
      </c>
      <c r="I41" s="114" t="s">
        <v>25</v>
      </c>
      <c r="J41" s="114">
        <v>390.93</v>
      </c>
      <c r="K41" s="114">
        <v>195.54</v>
      </c>
      <c r="L41" s="114">
        <v>0</v>
      </c>
      <c r="M41" s="114">
        <v>0.81218596412781796</v>
      </c>
      <c r="N41" s="114">
        <v>0</v>
      </c>
      <c r="O41" s="114">
        <v>0</v>
      </c>
      <c r="P41" s="114">
        <v>0</v>
      </c>
      <c r="Q41" s="114">
        <v>84.579666402285298</v>
      </c>
      <c r="R41" s="114">
        <v>13.365639925736501</v>
      </c>
      <c r="S41" s="114">
        <v>0</v>
      </c>
      <c r="T41" s="114">
        <v>0</v>
      </c>
      <c r="U41" s="114">
        <v>0</v>
      </c>
      <c r="V41" s="114">
        <v>0</v>
      </c>
      <c r="W41" s="114">
        <v>0</v>
      </c>
      <c r="X41" s="114">
        <v>93.706801853020394</v>
      </c>
      <c r="Y41" s="114">
        <v>0</v>
      </c>
      <c r="Z41" s="114">
        <v>0</v>
      </c>
      <c r="AA41" s="114">
        <v>182.56647351350901</v>
      </c>
      <c r="AB41" s="114">
        <v>0</v>
      </c>
      <c r="AC41" s="114">
        <v>0</v>
      </c>
      <c r="AD41" s="114">
        <v>0</v>
      </c>
      <c r="AE41" s="114">
        <v>15.903437646968101</v>
      </c>
      <c r="AF41" s="114">
        <v>0</v>
      </c>
      <c r="AG41" s="114">
        <v>0</v>
      </c>
      <c r="AH41" s="114">
        <v>0</v>
      </c>
      <c r="AI41" s="114">
        <v>0</v>
      </c>
      <c r="AJ41" s="114">
        <v>0</v>
      </c>
      <c r="AK41" s="114">
        <v>0</v>
      </c>
      <c r="AL41" s="114">
        <v>15.039620441040199</v>
      </c>
      <c r="AM41" s="114">
        <v>0</v>
      </c>
      <c r="AN41" s="114">
        <v>180.49986087792701</v>
      </c>
      <c r="AO41" s="114">
        <v>0</v>
      </c>
      <c r="AP41" s="114">
        <v>0</v>
      </c>
      <c r="AQ41" s="114">
        <v>0</v>
      </c>
      <c r="AR41" s="114">
        <v>0</v>
      </c>
      <c r="AS41" s="114">
        <v>0</v>
      </c>
      <c r="AT41" s="115">
        <v>0</v>
      </c>
    </row>
    <row r="42" spans="2:46" ht="12" customHeight="1" x14ac:dyDescent="0.3">
      <c r="B42" s="113" t="s">
        <v>39</v>
      </c>
      <c r="C42" s="114" t="s">
        <v>84</v>
      </c>
      <c r="D42" s="114" t="s">
        <v>40</v>
      </c>
      <c r="E42" s="114" t="s">
        <v>86</v>
      </c>
      <c r="F42" s="114" t="s">
        <v>25</v>
      </c>
      <c r="G42" s="114" t="s">
        <v>25</v>
      </c>
      <c r="H42" s="114" t="s">
        <v>68</v>
      </c>
      <c r="I42" s="114" t="s">
        <v>25</v>
      </c>
      <c r="J42" s="114">
        <v>382.62</v>
      </c>
      <c r="K42" s="114">
        <v>191.38</v>
      </c>
      <c r="L42" s="114">
        <v>0</v>
      </c>
      <c r="M42" s="114">
        <v>0.79490541169956697</v>
      </c>
      <c r="N42" s="114">
        <v>0</v>
      </c>
      <c r="O42" s="114">
        <v>0</v>
      </c>
      <c r="P42" s="114">
        <v>0</v>
      </c>
      <c r="Q42" s="114">
        <v>82.780099032023898</v>
      </c>
      <c r="R42" s="114">
        <v>13.081264608167601</v>
      </c>
      <c r="S42" s="114">
        <v>0</v>
      </c>
      <c r="T42" s="114">
        <v>0</v>
      </c>
      <c r="U42" s="114">
        <v>0</v>
      </c>
      <c r="V42" s="114">
        <v>0</v>
      </c>
      <c r="W42" s="114">
        <v>0</v>
      </c>
      <c r="X42" s="114">
        <v>91.713040111466796</v>
      </c>
      <c r="Y42" s="114">
        <v>0</v>
      </c>
      <c r="Z42" s="114">
        <v>0</v>
      </c>
      <c r="AA42" s="114">
        <v>178.68208046002999</v>
      </c>
      <c r="AB42" s="114">
        <v>0</v>
      </c>
      <c r="AC42" s="114">
        <v>0</v>
      </c>
      <c r="AD42" s="114">
        <v>0</v>
      </c>
      <c r="AE42" s="114">
        <v>15.5650666332028</v>
      </c>
      <c r="AF42" s="114">
        <v>0</v>
      </c>
      <c r="AG42" s="114">
        <v>0</v>
      </c>
      <c r="AH42" s="114">
        <v>0</v>
      </c>
      <c r="AI42" s="114">
        <v>0</v>
      </c>
      <c r="AJ42" s="114">
        <v>0</v>
      </c>
      <c r="AK42" s="114">
        <v>0</v>
      </c>
      <c r="AL42" s="114">
        <v>14.7196285167628</v>
      </c>
      <c r="AM42" s="114">
        <v>0</v>
      </c>
      <c r="AN42" s="114">
        <v>176.65943830605599</v>
      </c>
      <c r="AO42" s="114">
        <v>0</v>
      </c>
      <c r="AP42" s="114">
        <v>0</v>
      </c>
      <c r="AQ42" s="114">
        <v>0</v>
      </c>
      <c r="AR42" s="114">
        <v>0</v>
      </c>
      <c r="AS42" s="114">
        <v>0</v>
      </c>
      <c r="AT42" s="115">
        <v>0</v>
      </c>
    </row>
    <row r="43" spans="2:46" ht="12" customHeight="1" x14ac:dyDescent="0.3">
      <c r="B43" s="113" t="s">
        <v>31</v>
      </c>
      <c r="C43" s="114" t="s">
        <v>82</v>
      </c>
      <c r="D43" s="114" t="s">
        <v>25</v>
      </c>
      <c r="E43" s="114" t="s">
        <v>25</v>
      </c>
      <c r="F43" s="114" t="s">
        <v>25</v>
      </c>
      <c r="G43" s="114" t="s">
        <v>35</v>
      </c>
      <c r="H43" s="114" t="s">
        <v>68</v>
      </c>
      <c r="I43" s="114" t="s">
        <v>25</v>
      </c>
      <c r="J43" s="114">
        <v>1136.05</v>
      </c>
      <c r="K43" s="114">
        <v>208.02</v>
      </c>
      <c r="L43" s="114">
        <v>0</v>
      </c>
      <c r="M43" s="114">
        <v>0.86402762141257305</v>
      </c>
      <c r="N43" s="114">
        <v>0</v>
      </c>
      <c r="O43" s="114">
        <v>0</v>
      </c>
      <c r="P43" s="114">
        <v>0</v>
      </c>
      <c r="Q43" s="114">
        <v>89.978368513069498</v>
      </c>
      <c r="R43" s="114">
        <v>14.218765878443101</v>
      </c>
      <c r="S43" s="114">
        <v>0</v>
      </c>
      <c r="T43" s="114">
        <v>0</v>
      </c>
      <c r="U43" s="114">
        <v>0</v>
      </c>
      <c r="V43" s="114">
        <v>0</v>
      </c>
      <c r="W43" s="114">
        <v>0</v>
      </c>
      <c r="X43" s="114">
        <v>344.00987603373198</v>
      </c>
      <c r="Y43" s="114">
        <v>0</v>
      </c>
      <c r="Z43" s="114">
        <v>0</v>
      </c>
      <c r="AA43" s="114">
        <v>670.05764646180103</v>
      </c>
      <c r="AB43" s="114">
        <v>0</v>
      </c>
      <c r="AC43" s="114">
        <v>0</v>
      </c>
      <c r="AD43" s="114">
        <v>0</v>
      </c>
      <c r="AE43" s="114">
        <v>16.918550688263899</v>
      </c>
      <c r="AF43" s="114">
        <v>0</v>
      </c>
      <c r="AG43" s="114">
        <v>0</v>
      </c>
      <c r="AH43" s="114">
        <v>0</v>
      </c>
      <c r="AI43" s="114">
        <v>0</v>
      </c>
      <c r="AJ43" s="114">
        <v>0</v>
      </c>
      <c r="AK43" s="114">
        <v>0</v>
      </c>
      <c r="AL43" s="114">
        <v>15.9995962138726</v>
      </c>
      <c r="AM43" s="114">
        <v>0</v>
      </c>
      <c r="AN43" s="114">
        <v>192.021128593539</v>
      </c>
      <c r="AO43" s="114">
        <v>0</v>
      </c>
      <c r="AP43" s="114">
        <v>0</v>
      </c>
      <c r="AQ43" s="114">
        <v>0</v>
      </c>
      <c r="AR43" s="114">
        <v>0</v>
      </c>
      <c r="AS43" s="114">
        <v>0</v>
      </c>
      <c r="AT43" s="115">
        <v>0</v>
      </c>
    </row>
    <row r="44" spans="2:46" ht="12" customHeight="1" x14ac:dyDescent="0.3">
      <c r="B44" s="113" t="s">
        <v>31</v>
      </c>
      <c r="C44" s="114" t="s">
        <v>82</v>
      </c>
      <c r="D44" s="114" t="s">
        <v>25</v>
      </c>
      <c r="E44" s="114" t="s">
        <v>25</v>
      </c>
      <c r="F44" s="114" t="s">
        <v>25</v>
      </c>
      <c r="G44" s="114" t="s">
        <v>514</v>
      </c>
      <c r="H44" s="114" t="s">
        <v>68</v>
      </c>
      <c r="I44" s="114" t="s">
        <v>25</v>
      </c>
      <c r="J44" s="114">
        <v>730.38</v>
      </c>
      <c r="K44" s="114">
        <v>208.02</v>
      </c>
      <c r="L44" s="114">
        <v>0</v>
      </c>
      <c r="M44" s="114">
        <v>0.86402762141257305</v>
      </c>
      <c r="N44" s="114">
        <v>0</v>
      </c>
      <c r="O44" s="114">
        <v>0</v>
      </c>
      <c r="P44" s="114">
        <v>0</v>
      </c>
      <c r="Q44" s="114">
        <v>89.978368513069498</v>
      </c>
      <c r="R44" s="114">
        <v>14.218765878443101</v>
      </c>
      <c r="S44" s="114">
        <v>0</v>
      </c>
      <c r="T44" s="114">
        <v>0</v>
      </c>
      <c r="U44" s="114">
        <v>0</v>
      </c>
      <c r="V44" s="114">
        <v>0</v>
      </c>
      <c r="W44" s="114">
        <v>0</v>
      </c>
      <c r="X44" s="114">
        <v>206.36655084422699</v>
      </c>
      <c r="Y44" s="114">
        <v>0</v>
      </c>
      <c r="Z44" s="114">
        <v>0</v>
      </c>
      <c r="AA44" s="114">
        <v>402.03454906125302</v>
      </c>
      <c r="AB44" s="114">
        <v>0</v>
      </c>
      <c r="AC44" s="114">
        <v>0</v>
      </c>
      <c r="AD44" s="114">
        <v>0</v>
      </c>
      <c r="AE44" s="114">
        <v>16.918550688263899</v>
      </c>
      <c r="AF44" s="114">
        <v>0</v>
      </c>
      <c r="AG44" s="114">
        <v>0</v>
      </c>
      <c r="AH44" s="114">
        <v>0</v>
      </c>
      <c r="AI44" s="114">
        <v>0</v>
      </c>
      <c r="AJ44" s="114">
        <v>0</v>
      </c>
      <c r="AK44" s="114">
        <v>0</v>
      </c>
      <c r="AL44" s="114">
        <v>15.9995962138726</v>
      </c>
      <c r="AM44" s="114">
        <v>0</v>
      </c>
      <c r="AN44" s="114">
        <v>192.021128593539</v>
      </c>
      <c r="AO44" s="114">
        <v>0</v>
      </c>
      <c r="AP44" s="114">
        <v>0</v>
      </c>
      <c r="AQ44" s="114">
        <v>0</v>
      </c>
      <c r="AR44" s="114">
        <v>0</v>
      </c>
      <c r="AS44" s="114">
        <v>0</v>
      </c>
      <c r="AT44" s="115">
        <v>0</v>
      </c>
    </row>
    <row r="45" spans="2:46" ht="12" customHeight="1" x14ac:dyDescent="0.3">
      <c r="B45" s="113" t="s">
        <v>31</v>
      </c>
      <c r="C45" s="114" t="s">
        <v>82</v>
      </c>
      <c r="D45" s="114" t="s">
        <v>25</v>
      </c>
      <c r="E45" s="114" t="s">
        <v>25</v>
      </c>
      <c r="F45" s="114" t="s">
        <v>25</v>
      </c>
      <c r="G45" s="114" t="s">
        <v>36</v>
      </c>
      <c r="H45" s="114" t="s">
        <v>68</v>
      </c>
      <c r="I45" s="114" t="s">
        <v>25</v>
      </c>
      <c r="J45" s="114">
        <v>324.76</v>
      </c>
      <c r="K45" s="114">
        <v>208.02</v>
      </c>
      <c r="L45" s="114">
        <v>0</v>
      </c>
      <c r="M45" s="114">
        <v>0.86402762141257305</v>
      </c>
      <c r="N45" s="114">
        <v>0</v>
      </c>
      <c r="O45" s="114">
        <v>0</v>
      </c>
      <c r="P45" s="114">
        <v>0</v>
      </c>
      <c r="Q45" s="114">
        <v>89.978368513069498</v>
      </c>
      <c r="R45" s="114">
        <v>14.218765878443101</v>
      </c>
      <c r="S45" s="114">
        <v>0</v>
      </c>
      <c r="T45" s="114">
        <v>0</v>
      </c>
      <c r="U45" s="114">
        <v>0</v>
      </c>
      <c r="V45" s="114">
        <v>0</v>
      </c>
      <c r="W45" s="114">
        <v>0</v>
      </c>
      <c r="X45" s="114">
        <v>68.772368905476</v>
      </c>
      <c r="Y45" s="114">
        <v>0</v>
      </c>
      <c r="Z45" s="114">
        <v>0</v>
      </c>
      <c r="AA45" s="114">
        <v>134.011645739844</v>
      </c>
      <c r="AB45" s="114">
        <v>0</v>
      </c>
      <c r="AC45" s="114">
        <v>0</v>
      </c>
      <c r="AD45" s="114">
        <v>0</v>
      </c>
      <c r="AE45" s="114">
        <v>16.918550688263899</v>
      </c>
      <c r="AF45" s="114">
        <v>0</v>
      </c>
      <c r="AG45" s="114">
        <v>0</v>
      </c>
      <c r="AH45" s="114">
        <v>0</v>
      </c>
      <c r="AI45" s="114">
        <v>0</v>
      </c>
      <c r="AJ45" s="114">
        <v>0</v>
      </c>
      <c r="AK45" s="114">
        <v>0</v>
      </c>
      <c r="AL45" s="114">
        <v>15.9995962138726</v>
      </c>
      <c r="AM45" s="114">
        <v>0</v>
      </c>
      <c r="AN45" s="114">
        <v>192.021128593539</v>
      </c>
      <c r="AO45" s="114">
        <v>0</v>
      </c>
      <c r="AP45" s="114">
        <v>0</v>
      </c>
      <c r="AQ45" s="114">
        <v>0</v>
      </c>
      <c r="AR45" s="114">
        <v>0</v>
      </c>
      <c r="AS45" s="114">
        <v>0</v>
      </c>
      <c r="AT45" s="115">
        <v>0</v>
      </c>
    </row>
    <row r="46" spans="2:46" ht="12" customHeight="1" x14ac:dyDescent="0.3">
      <c r="B46" s="113" t="s">
        <v>31</v>
      </c>
      <c r="C46" s="114" t="s">
        <v>23</v>
      </c>
      <c r="D46" s="114" t="s">
        <v>25</v>
      </c>
      <c r="E46" s="114" t="s">
        <v>25</v>
      </c>
      <c r="F46" s="114" t="s">
        <v>25</v>
      </c>
      <c r="G46" s="114" t="s">
        <v>25</v>
      </c>
      <c r="H46" s="114" t="s">
        <v>68</v>
      </c>
      <c r="I46" s="114" t="s">
        <v>25</v>
      </c>
      <c r="J46" s="114">
        <v>415.89</v>
      </c>
      <c r="K46" s="114">
        <v>208.02</v>
      </c>
      <c r="L46" s="114">
        <v>0</v>
      </c>
      <c r="M46" s="114">
        <v>0.86402762141257305</v>
      </c>
      <c r="N46" s="114">
        <v>0</v>
      </c>
      <c r="O46" s="114">
        <v>0</v>
      </c>
      <c r="P46" s="114">
        <v>0</v>
      </c>
      <c r="Q46" s="114">
        <v>89.978368513069498</v>
      </c>
      <c r="R46" s="114">
        <v>14.218765878443101</v>
      </c>
      <c r="S46" s="114">
        <v>0</v>
      </c>
      <c r="T46" s="114">
        <v>0</v>
      </c>
      <c r="U46" s="114">
        <v>0</v>
      </c>
      <c r="V46" s="114">
        <v>0</v>
      </c>
      <c r="W46" s="114">
        <v>0</v>
      </c>
      <c r="X46" s="114">
        <v>99.688087077681203</v>
      </c>
      <c r="Y46" s="114">
        <v>0</v>
      </c>
      <c r="Z46" s="114">
        <v>0</v>
      </c>
      <c r="AA46" s="114">
        <v>194.219652673946</v>
      </c>
      <c r="AB46" s="114">
        <v>0</v>
      </c>
      <c r="AC46" s="114">
        <v>0</v>
      </c>
      <c r="AD46" s="114">
        <v>0</v>
      </c>
      <c r="AE46" s="114">
        <v>16.918550688263899</v>
      </c>
      <c r="AF46" s="114">
        <v>0</v>
      </c>
      <c r="AG46" s="114">
        <v>0</v>
      </c>
      <c r="AH46" s="114">
        <v>0</v>
      </c>
      <c r="AI46" s="114">
        <v>0</v>
      </c>
      <c r="AJ46" s="114">
        <v>0</v>
      </c>
      <c r="AK46" s="114">
        <v>0</v>
      </c>
      <c r="AL46" s="114">
        <v>15.9995962138726</v>
      </c>
      <c r="AM46" s="114">
        <v>0</v>
      </c>
      <c r="AN46" s="114">
        <v>192.021128593539</v>
      </c>
      <c r="AO46" s="114">
        <v>0</v>
      </c>
      <c r="AP46" s="114">
        <v>0</v>
      </c>
      <c r="AQ46" s="114">
        <v>0</v>
      </c>
      <c r="AR46" s="114">
        <v>0</v>
      </c>
      <c r="AS46" s="114">
        <v>0</v>
      </c>
      <c r="AT46" s="115">
        <v>0</v>
      </c>
    </row>
    <row r="47" spans="2:46" ht="12" customHeight="1" x14ac:dyDescent="0.3">
      <c r="B47" s="113" t="s">
        <v>31</v>
      </c>
      <c r="C47" s="114" t="s">
        <v>84</v>
      </c>
      <c r="D47" s="114" t="s">
        <v>25</v>
      </c>
      <c r="E47" s="114" t="s">
        <v>25</v>
      </c>
      <c r="F47" s="114" t="s">
        <v>25</v>
      </c>
      <c r="G47" s="114" t="s">
        <v>25</v>
      </c>
      <c r="H47" s="114" t="s">
        <v>68</v>
      </c>
      <c r="I47" s="114" t="s">
        <v>25</v>
      </c>
      <c r="J47" s="114">
        <v>415.89</v>
      </c>
      <c r="K47" s="114">
        <v>208.02</v>
      </c>
      <c r="L47" s="114">
        <v>0</v>
      </c>
      <c r="M47" s="114">
        <v>0.86402762141257305</v>
      </c>
      <c r="N47" s="114">
        <v>0</v>
      </c>
      <c r="O47" s="114">
        <v>0</v>
      </c>
      <c r="P47" s="114">
        <v>0</v>
      </c>
      <c r="Q47" s="114">
        <v>89.978368513069498</v>
      </c>
      <c r="R47" s="114">
        <v>14.218765878443101</v>
      </c>
      <c r="S47" s="114">
        <v>0</v>
      </c>
      <c r="T47" s="114">
        <v>0</v>
      </c>
      <c r="U47" s="114">
        <v>0</v>
      </c>
      <c r="V47" s="114">
        <v>0</v>
      </c>
      <c r="W47" s="114">
        <v>0</v>
      </c>
      <c r="X47" s="114">
        <v>99.688087077681203</v>
      </c>
      <c r="Y47" s="114">
        <v>0</v>
      </c>
      <c r="Z47" s="114">
        <v>0</v>
      </c>
      <c r="AA47" s="114">
        <v>194.219652673946</v>
      </c>
      <c r="AB47" s="114">
        <v>0</v>
      </c>
      <c r="AC47" s="114">
        <v>0</v>
      </c>
      <c r="AD47" s="114">
        <v>0</v>
      </c>
      <c r="AE47" s="114">
        <v>16.918550688263899</v>
      </c>
      <c r="AF47" s="114">
        <v>0</v>
      </c>
      <c r="AG47" s="114">
        <v>0</v>
      </c>
      <c r="AH47" s="114">
        <v>0</v>
      </c>
      <c r="AI47" s="114">
        <v>0</v>
      </c>
      <c r="AJ47" s="114">
        <v>0</v>
      </c>
      <c r="AK47" s="114">
        <v>0</v>
      </c>
      <c r="AL47" s="114">
        <v>15.9995962138726</v>
      </c>
      <c r="AM47" s="114">
        <v>0</v>
      </c>
      <c r="AN47" s="114">
        <v>192.021128593539</v>
      </c>
      <c r="AO47" s="114">
        <v>0</v>
      </c>
      <c r="AP47" s="114">
        <v>0</v>
      </c>
      <c r="AQ47" s="114">
        <v>0</v>
      </c>
      <c r="AR47" s="114">
        <v>0</v>
      </c>
      <c r="AS47" s="114">
        <v>0</v>
      </c>
      <c r="AT47" s="115">
        <v>0</v>
      </c>
    </row>
    <row r="48" spans="2:46" ht="12" customHeight="1" x14ac:dyDescent="0.3">
      <c r="B48" s="113" t="s">
        <v>43</v>
      </c>
      <c r="C48" s="114" t="s">
        <v>23</v>
      </c>
      <c r="D48" s="114" t="s">
        <v>44</v>
      </c>
      <c r="E48" s="114" t="s">
        <v>45</v>
      </c>
      <c r="F48" s="114" t="s">
        <v>25</v>
      </c>
      <c r="G48" s="114" t="s">
        <v>25</v>
      </c>
      <c r="H48" s="114" t="s">
        <v>68</v>
      </c>
      <c r="I48" s="114" t="s">
        <v>25</v>
      </c>
      <c r="J48" s="114">
        <v>228.74</v>
      </c>
      <c r="K48" s="114">
        <v>114.41</v>
      </c>
      <c r="L48" s="114">
        <v>0</v>
      </c>
      <c r="M48" s="114">
        <v>0.47521519177691501</v>
      </c>
      <c r="N48" s="114">
        <v>0</v>
      </c>
      <c r="O48" s="114">
        <v>0</v>
      </c>
      <c r="P48" s="114">
        <v>0</v>
      </c>
      <c r="Q48" s="114">
        <v>49.488102682188199</v>
      </c>
      <c r="R48" s="114">
        <v>7.8203212331436998</v>
      </c>
      <c r="S48" s="114">
        <v>0</v>
      </c>
      <c r="T48" s="114">
        <v>0</v>
      </c>
      <c r="U48" s="114">
        <v>0</v>
      </c>
      <c r="V48" s="114">
        <v>0</v>
      </c>
      <c r="W48" s="114">
        <v>0</v>
      </c>
      <c r="X48" s="114">
        <v>54.828447892724697</v>
      </c>
      <c r="Y48" s="114">
        <v>0</v>
      </c>
      <c r="Z48" s="114">
        <v>0</v>
      </c>
      <c r="AA48" s="114">
        <v>106.82080897067</v>
      </c>
      <c r="AB48" s="114">
        <v>0</v>
      </c>
      <c r="AC48" s="114">
        <v>0</v>
      </c>
      <c r="AD48" s="114">
        <v>0</v>
      </c>
      <c r="AE48" s="114">
        <v>9.3052028785451704</v>
      </c>
      <c r="AF48" s="114">
        <v>0</v>
      </c>
      <c r="AG48" s="114">
        <v>0</v>
      </c>
      <c r="AH48" s="114">
        <v>0</v>
      </c>
      <c r="AI48" s="114">
        <v>0</v>
      </c>
      <c r="AJ48" s="114">
        <v>0</v>
      </c>
      <c r="AK48" s="114">
        <v>0</v>
      </c>
      <c r="AL48" s="114">
        <v>8.79977791762993</v>
      </c>
      <c r="AM48" s="114">
        <v>0</v>
      </c>
      <c r="AN48" s="114">
        <v>105.611620726447</v>
      </c>
      <c r="AO48" s="114">
        <v>0</v>
      </c>
      <c r="AP48" s="114">
        <v>0</v>
      </c>
      <c r="AQ48" s="114">
        <v>0</v>
      </c>
      <c r="AR48" s="114">
        <v>0</v>
      </c>
      <c r="AS48" s="114">
        <v>0</v>
      </c>
      <c r="AT48" s="115">
        <v>0</v>
      </c>
    </row>
    <row r="49" spans="2:46" ht="12" customHeight="1" x14ac:dyDescent="0.3">
      <c r="B49" s="116" t="s">
        <v>43</v>
      </c>
      <c r="C49" s="117" t="s">
        <v>23</v>
      </c>
      <c r="D49" s="117" t="s">
        <v>44</v>
      </c>
      <c r="E49" s="117" t="s">
        <v>87</v>
      </c>
      <c r="F49" s="117" t="s">
        <v>25</v>
      </c>
      <c r="G49" s="117" t="s">
        <v>25</v>
      </c>
      <c r="H49" s="117" t="s">
        <v>68</v>
      </c>
      <c r="I49" s="117" t="s">
        <v>25</v>
      </c>
      <c r="J49" s="117">
        <v>249.53</v>
      </c>
      <c r="K49" s="117">
        <v>124.81</v>
      </c>
      <c r="L49" s="117">
        <v>0</v>
      </c>
      <c r="M49" s="117">
        <v>0.51841657284754405</v>
      </c>
      <c r="N49" s="117">
        <v>0</v>
      </c>
      <c r="O49" s="117">
        <v>0</v>
      </c>
      <c r="P49" s="117">
        <v>0</v>
      </c>
      <c r="Q49" s="117">
        <v>53.987021107841699</v>
      </c>
      <c r="R49" s="117">
        <v>8.5312595270658491</v>
      </c>
      <c r="S49" s="117">
        <v>0</v>
      </c>
      <c r="T49" s="117">
        <v>0</v>
      </c>
      <c r="U49" s="117">
        <v>0</v>
      </c>
      <c r="V49" s="117">
        <v>0</v>
      </c>
      <c r="W49" s="117">
        <v>0</v>
      </c>
      <c r="X49" s="117">
        <v>59.812852246608699</v>
      </c>
      <c r="Y49" s="117">
        <v>0</v>
      </c>
      <c r="Z49" s="117">
        <v>0</v>
      </c>
      <c r="AA49" s="117">
        <v>116.531791604367</v>
      </c>
      <c r="AB49" s="117">
        <v>0</v>
      </c>
      <c r="AC49" s="117">
        <v>0</v>
      </c>
      <c r="AD49" s="117">
        <v>0</v>
      </c>
      <c r="AE49" s="117">
        <v>10.1511304129584</v>
      </c>
      <c r="AF49" s="117">
        <v>0</v>
      </c>
      <c r="AG49" s="117">
        <v>0</v>
      </c>
      <c r="AH49" s="117">
        <v>0</v>
      </c>
      <c r="AI49" s="117">
        <v>0</v>
      </c>
      <c r="AJ49" s="117">
        <v>0</v>
      </c>
      <c r="AK49" s="117">
        <v>0</v>
      </c>
      <c r="AL49" s="117">
        <v>9.59975772832356</v>
      </c>
      <c r="AM49" s="117">
        <v>0</v>
      </c>
      <c r="AN49" s="117">
        <v>115.212677156124</v>
      </c>
      <c r="AO49" s="117">
        <v>0</v>
      </c>
      <c r="AP49" s="117">
        <v>0</v>
      </c>
      <c r="AQ49" s="117">
        <v>0</v>
      </c>
      <c r="AR49" s="117">
        <v>0</v>
      </c>
      <c r="AS49" s="117">
        <v>0</v>
      </c>
      <c r="AT49" s="118">
        <v>0</v>
      </c>
    </row>
  </sheetData>
  <mergeCells count="7">
    <mergeCell ref="L1:AT1"/>
    <mergeCell ref="L2:S2"/>
    <mergeCell ref="T2:Z2"/>
    <mergeCell ref="AB2:AD2"/>
    <mergeCell ref="AE2:AH2"/>
    <mergeCell ref="AI2:AM2"/>
    <mergeCell ref="AO2:AS2"/>
  </mergeCells>
  <phoneticPr fontId="10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2F8B-C749-4C23-994B-A8C99363ABFA}">
  <dimension ref="A1:AX85"/>
  <sheetViews>
    <sheetView showGridLines="0" workbookViewId="0"/>
  </sheetViews>
  <sheetFormatPr defaultRowHeight="10.199999999999999" x14ac:dyDescent="0.3"/>
  <cols>
    <col min="1" max="1" width="4.33203125" style="8" bestFit="1" customWidth="1"/>
    <col min="2" max="2" width="8" style="8" bestFit="1" customWidth="1"/>
    <col min="3" max="3" width="7.6640625" style="8" bestFit="1" customWidth="1"/>
    <col min="4" max="4" width="24.6640625" style="8" bestFit="1" customWidth="1"/>
    <col min="5" max="5" width="12.6640625" style="8" bestFit="1" customWidth="1"/>
    <col min="6" max="6" width="23.109375" style="8" bestFit="1" customWidth="1"/>
    <col min="7" max="9" width="9.5546875" style="8" bestFit="1" customWidth="1"/>
    <col min="10" max="10" width="6.44140625" style="8" bestFit="1" customWidth="1"/>
    <col min="11" max="11" width="3.88671875" style="8" bestFit="1" customWidth="1"/>
    <col min="12" max="12" width="4.21875" style="8" bestFit="1" customWidth="1"/>
    <col min="13" max="13" width="5.88671875" style="8" bestFit="1" customWidth="1"/>
    <col min="14" max="14" width="5.5546875" style="8" bestFit="1" customWidth="1"/>
    <col min="15" max="15" width="10.33203125" style="8" bestFit="1" customWidth="1"/>
    <col min="16" max="16" width="9.33203125" style="8" bestFit="1" customWidth="1"/>
    <col min="17" max="16384" width="8.88671875" style="8"/>
  </cols>
  <sheetData>
    <row r="1" spans="1:50" ht="11.25" customHeight="1" x14ac:dyDescent="0.3">
      <c r="A1" s="30" t="s">
        <v>516</v>
      </c>
      <c r="B1" s="30" t="s">
        <v>506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507</v>
      </c>
      <c r="K1" s="30" t="s">
        <v>508</v>
      </c>
      <c r="L1" s="30" t="s">
        <v>509</v>
      </c>
      <c r="M1" s="30" t="s">
        <v>510</v>
      </c>
      <c r="N1" s="30" t="s">
        <v>511</v>
      </c>
      <c r="O1" s="30" t="s">
        <v>387</v>
      </c>
      <c r="P1" s="30" t="s">
        <v>373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ht="11.25" customHeight="1" x14ac:dyDescent="0.3">
      <c r="A2" s="31">
        <v>1</v>
      </c>
      <c r="B2" s="31" t="s">
        <v>367</v>
      </c>
      <c r="C2" s="31" t="s">
        <v>33</v>
      </c>
      <c r="D2" s="31" t="s">
        <v>34</v>
      </c>
      <c r="E2" s="31" t="s">
        <v>25</v>
      </c>
      <c r="F2" s="31" t="s">
        <v>25</v>
      </c>
      <c r="G2" s="31" t="s">
        <v>25</v>
      </c>
      <c r="H2" s="31" t="s">
        <v>25</v>
      </c>
      <c r="I2" s="31" t="s">
        <v>35</v>
      </c>
      <c r="J2" s="31" t="s">
        <v>512</v>
      </c>
      <c r="K2" s="31" t="s">
        <v>513</v>
      </c>
      <c r="L2" s="31" t="s">
        <v>71</v>
      </c>
      <c r="M2" s="31">
        <v>2021</v>
      </c>
      <c r="N2" s="31">
        <v>0</v>
      </c>
      <c r="O2" s="31">
        <v>53.48</v>
      </c>
      <c r="P2" s="31">
        <v>0</v>
      </c>
    </row>
    <row r="3" spans="1:50" ht="11.25" customHeight="1" x14ac:dyDescent="0.3">
      <c r="A3" s="31">
        <v>2</v>
      </c>
      <c r="B3" s="31" t="s">
        <v>367</v>
      </c>
      <c r="C3" s="31" t="s">
        <v>22</v>
      </c>
      <c r="D3" s="31" t="s">
        <v>82</v>
      </c>
      <c r="E3" s="31" t="s">
        <v>24</v>
      </c>
      <c r="F3" s="31" t="s">
        <v>24</v>
      </c>
      <c r="G3" s="31" t="s">
        <v>25</v>
      </c>
      <c r="H3" s="31" t="s">
        <v>25</v>
      </c>
      <c r="I3" s="31" t="s">
        <v>514</v>
      </c>
      <c r="J3" s="31" t="s">
        <v>515</v>
      </c>
      <c r="K3" s="31" t="s">
        <v>513</v>
      </c>
      <c r="L3" s="31" t="s">
        <v>68</v>
      </c>
      <c r="M3" s="31">
        <v>2021</v>
      </c>
      <c r="N3" s="31">
        <v>0</v>
      </c>
      <c r="O3" s="31">
        <v>424.81</v>
      </c>
      <c r="P3" s="31">
        <v>70.730539957416596</v>
      </c>
    </row>
    <row r="4" spans="1:50" ht="11.25" customHeight="1" x14ac:dyDescent="0.3">
      <c r="A4" s="31">
        <v>3</v>
      </c>
      <c r="B4" s="31" t="s">
        <v>367</v>
      </c>
      <c r="C4" s="31" t="s">
        <v>33</v>
      </c>
      <c r="D4" s="31" t="s">
        <v>37</v>
      </c>
      <c r="E4" s="31" t="s">
        <v>25</v>
      </c>
      <c r="F4" s="31" t="s">
        <v>25</v>
      </c>
      <c r="G4" s="31" t="s">
        <v>75</v>
      </c>
      <c r="H4" s="31" t="s">
        <v>25</v>
      </c>
      <c r="I4" s="31" t="s">
        <v>36</v>
      </c>
      <c r="J4" s="31" t="s">
        <v>515</v>
      </c>
      <c r="K4" s="31" t="s">
        <v>513</v>
      </c>
      <c r="L4" s="31" t="s">
        <v>68</v>
      </c>
      <c r="M4" s="31">
        <v>2021</v>
      </c>
      <c r="N4" s="31">
        <v>0</v>
      </c>
      <c r="O4" s="31">
        <v>10.67</v>
      </c>
      <c r="P4" s="31">
        <v>0</v>
      </c>
    </row>
    <row r="5" spans="1:50" ht="11.25" customHeight="1" x14ac:dyDescent="0.3">
      <c r="A5" s="31">
        <v>4</v>
      </c>
      <c r="B5" s="31" t="s">
        <v>367</v>
      </c>
      <c r="C5" s="31" t="s">
        <v>22</v>
      </c>
      <c r="D5" s="31" t="s">
        <v>84</v>
      </c>
      <c r="E5" s="31" t="s">
        <v>24</v>
      </c>
      <c r="F5" s="31" t="s">
        <v>29</v>
      </c>
      <c r="G5" s="31" t="s">
        <v>25</v>
      </c>
      <c r="H5" s="31" t="s">
        <v>25</v>
      </c>
      <c r="I5" s="31" t="s">
        <v>25</v>
      </c>
      <c r="J5" s="31" t="s">
        <v>515</v>
      </c>
      <c r="K5" s="31" t="s">
        <v>513</v>
      </c>
      <c r="L5" s="31" t="s">
        <v>68</v>
      </c>
      <c r="M5" s="31">
        <v>2021</v>
      </c>
      <c r="N5" s="31">
        <v>0</v>
      </c>
      <c r="O5" s="31">
        <v>199.96</v>
      </c>
      <c r="P5" s="31">
        <v>0</v>
      </c>
    </row>
    <row r="6" spans="1:50" ht="11.25" customHeight="1" x14ac:dyDescent="0.3">
      <c r="A6" s="31">
        <v>5</v>
      </c>
      <c r="B6" s="31" t="s">
        <v>367</v>
      </c>
      <c r="C6" s="31" t="s">
        <v>33</v>
      </c>
      <c r="D6" s="31" t="s">
        <v>34</v>
      </c>
      <c r="E6" s="31" t="s">
        <v>25</v>
      </c>
      <c r="F6" s="31" t="s">
        <v>25</v>
      </c>
      <c r="G6" s="31" t="s">
        <v>25</v>
      </c>
      <c r="H6" s="31" t="s">
        <v>25</v>
      </c>
      <c r="I6" s="31" t="s">
        <v>36</v>
      </c>
      <c r="J6" s="31" t="s">
        <v>512</v>
      </c>
      <c r="K6" s="31" t="s">
        <v>513</v>
      </c>
      <c r="L6" s="31" t="s">
        <v>71</v>
      </c>
      <c r="M6" s="31">
        <v>2021</v>
      </c>
      <c r="N6" s="31">
        <v>0</v>
      </c>
      <c r="O6" s="31">
        <v>18.72</v>
      </c>
      <c r="P6" s="31">
        <v>0</v>
      </c>
    </row>
    <row r="7" spans="1:50" ht="11.25" customHeight="1" x14ac:dyDescent="0.3">
      <c r="A7" s="31">
        <v>6</v>
      </c>
      <c r="B7" s="31" t="s">
        <v>367</v>
      </c>
      <c r="C7" s="31" t="s">
        <v>22</v>
      </c>
      <c r="D7" s="31" t="s">
        <v>82</v>
      </c>
      <c r="E7" s="31" t="s">
        <v>24</v>
      </c>
      <c r="F7" s="31" t="s">
        <v>24</v>
      </c>
      <c r="G7" s="31" t="s">
        <v>25</v>
      </c>
      <c r="H7" s="31" t="s">
        <v>25</v>
      </c>
      <c r="I7" s="31" t="s">
        <v>36</v>
      </c>
      <c r="J7" s="31" t="s">
        <v>515</v>
      </c>
      <c r="K7" s="31" t="s">
        <v>513</v>
      </c>
      <c r="L7" s="31" t="s">
        <v>68</v>
      </c>
      <c r="M7" s="31">
        <v>2021</v>
      </c>
      <c r="N7" s="31">
        <v>0</v>
      </c>
      <c r="O7" s="31">
        <v>213.88</v>
      </c>
      <c r="P7" s="31">
        <v>70.730539957416596</v>
      </c>
    </row>
    <row r="8" spans="1:50" ht="11.25" customHeight="1" x14ac:dyDescent="0.3">
      <c r="A8" s="31">
        <v>7</v>
      </c>
      <c r="B8" s="31" t="s">
        <v>367</v>
      </c>
      <c r="C8" s="31" t="s">
        <v>22</v>
      </c>
      <c r="D8" s="31" t="s">
        <v>82</v>
      </c>
      <c r="E8" s="31" t="s">
        <v>24</v>
      </c>
      <c r="F8" s="31" t="s">
        <v>24</v>
      </c>
      <c r="G8" s="31" t="s">
        <v>25</v>
      </c>
      <c r="H8" s="31" t="s">
        <v>25</v>
      </c>
      <c r="I8" s="31" t="s">
        <v>35</v>
      </c>
      <c r="J8" s="31" t="s">
        <v>515</v>
      </c>
      <c r="K8" s="31" t="s">
        <v>513</v>
      </c>
      <c r="L8" s="31" t="s">
        <v>68</v>
      </c>
      <c r="M8" s="31">
        <v>2021</v>
      </c>
      <c r="N8" s="31">
        <v>0</v>
      </c>
      <c r="O8" s="31">
        <v>635.78</v>
      </c>
      <c r="P8" s="31">
        <v>70.730539957416596</v>
      </c>
    </row>
    <row r="9" spans="1:50" ht="11.25" customHeight="1" x14ac:dyDescent="0.3">
      <c r="A9" s="31">
        <v>8</v>
      </c>
      <c r="B9" s="31" t="s">
        <v>367</v>
      </c>
      <c r="C9" s="31" t="s">
        <v>39</v>
      </c>
      <c r="D9" s="31" t="s">
        <v>82</v>
      </c>
      <c r="E9" s="31" t="s">
        <v>40</v>
      </c>
      <c r="F9" s="31" t="s">
        <v>25</v>
      </c>
      <c r="G9" s="31" t="s">
        <v>25</v>
      </c>
      <c r="H9" s="31" t="s">
        <v>25</v>
      </c>
      <c r="I9" s="31" t="s">
        <v>35</v>
      </c>
      <c r="J9" s="31" t="s">
        <v>515</v>
      </c>
      <c r="K9" s="31" t="s">
        <v>513</v>
      </c>
      <c r="L9" s="31" t="s">
        <v>68</v>
      </c>
      <c r="M9" s="31">
        <v>2021</v>
      </c>
      <c r="N9" s="31">
        <v>0</v>
      </c>
      <c r="O9" s="31">
        <v>602.36</v>
      </c>
      <c r="P9" s="31">
        <v>62.242875162526602</v>
      </c>
    </row>
    <row r="10" spans="1:50" ht="11.25" customHeight="1" x14ac:dyDescent="0.3">
      <c r="A10" s="31">
        <v>9</v>
      </c>
      <c r="B10" s="31" t="s">
        <v>367</v>
      </c>
      <c r="C10" s="31" t="s">
        <v>33</v>
      </c>
      <c r="D10" s="31" t="s">
        <v>34</v>
      </c>
      <c r="E10" s="31" t="s">
        <v>25</v>
      </c>
      <c r="F10" s="31" t="s">
        <v>25</v>
      </c>
      <c r="G10" s="31" t="s">
        <v>75</v>
      </c>
      <c r="H10" s="31" t="s">
        <v>25</v>
      </c>
      <c r="I10" s="31" t="s">
        <v>25</v>
      </c>
      <c r="J10" s="31" t="s">
        <v>515</v>
      </c>
      <c r="K10" s="31" t="s">
        <v>513</v>
      </c>
      <c r="L10" s="31" t="s">
        <v>68</v>
      </c>
      <c r="M10" s="31">
        <v>2021</v>
      </c>
      <c r="N10" s="31">
        <v>0</v>
      </c>
      <c r="O10" s="31">
        <v>10.67</v>
      </c>
      <c r="P10" s="31">
        <v>0</v>
      </c>
    </row>
    <row r="11" spans="1:50" ht="11.25" customHeight="1" x14ac:dyDescent="0.3">
      <c r="A11" s="31">
        <v>10</v>
      </c>
      <c r="B11" s="31" t="s">
        <v>367</v>
      </c>
      <c r="C11" s="31" t="s">
        <v>22</v>
      </c>
      <c r="D11" s="31" t="s">
        <v>23</v>
      </c>
      <c r="E11" s="31" t="s">
        <v>24</v>
      </c>
      <c r="F11" s="31" t="s">
        <v>28</v>
      </c>
      <c r="G11" s="31" t="s">
        <v>25</v>
      </c>
      <c r="H11" s="31" t="s">
        <v>25</v>
      </c>
      <c r="I11" s="31" t="s">
        <v>25</v>
      </c>
      <c r="J11" s="31" t="s">
        <v>515</v>
      </c>
      <c r="K11" s="31" t="s">
        <v>513</v>
      </c>
      <c r="L11" s="31" t="s">
        <v>68</v>
      </c>
      <c r="M11" s="31">
        <v>2021</v>
      </c>
      <c r="N11" s="31">
        <v>0</v>
      </c>
      <c r="O11" s="31">
        <v>133.31</v>
      </c>
      <c r="P11" s="31">
        <v>0</v>
      </c>
    </row>
    <row r="12" spans="1:50" ht="11.25" customHeight="1" x14ac:dyDescent="0.3">
      <c r="A12" s="31">
        <v>11</v>
      </c>
      <c r="B12" s="31" t="s">
        <v>367</v>
      </c>
      <c r="C12" s="31" t="s">
        <v>77</v>
      </c>
      <c r="D12" s="31" t="s">
        <v>76</v>
      </c>
      <c r="E12" s="31" t="s">
        <v>25</v>
      </c>
      <c r="F12" s="31" t="s">
        <v>25</v>
      </c>
      <c r="G12" s="31" t="s">
        <v>78</v>
      </c>
      <c r="H12" s="31" t="s">
        <v>25</v>
      </c>
      <c r="I12" s="31" t="s">
        <v>25</v>
      </c>
      <c r="J12" s="31" t="s">
        <v>512</v>
      </c>
      <c r="K12" s="31" t="s">
        <v>513</v>
      </c>
      <c r="L12" s="31" t="s">
        <v>71</v>
      </c>
      <c r="M12" s="31">
        <v>2021</v>
      </c>
      <c r="N12" s="31">
        <v>0</v>
      </c>
      <c r="O12" s="31">
        <v>3.04</v>
      </c>
      <c r="P12" s="31">
        <v>0</v>
      </c>
    </row>
    <row r="13" spans="1:50" ht="11.25" customHeight="1" x14ac:dyDescent="0.3">
      <c r="A13" s="31">
        <v>12</v>
      </c>
      <c r="B13" s="31" t="s">
        <v>367</v>
      </c>
      <c r="C13" s="31" t="s">
        <v>39</v>
      </c>
      <c r="D13" s="31" t="s">
        <v>82</v>
      </c>
      <c r="E13" s="31" t="s">
        <v>40</v>
      </c>
      <c r="F13" s="31" t="s">
        <v>25</v>
      </c>
      <c r="G13" s="31" t="s">
        <v>25</v>
      </c>
      <c r="H13" s="31" t="s">
        <v>25</v>
      </c>
      <c r="I13" s="31" t="s">
        <v>514</v>
      </c>
      <c r="J13" s="31" t="s">
        <v>515</v>
      </c>
      <c r="K13" s="31" t="s">
        <v>513</v>
      </c>
      <c r="L13" s="31" t="s">
        <v>68</v>
      </c>
      <c r="M13" s="31">
        <v>2021</v>
      </c>
      <c r="N13" s="31">
        <v>0</v>
      </c>
      <c r="O13" s="31">
        <v>399.54</v>
      </c>
      <c r="P13" s="31">
        <v>62.242875162526602</v>
      </c>
    </row>
    <row r="14" spans="1:50" ht="11.25" customHeight="1" x14ac:dyDescent="0.3">
      <c r="A14" s="31">
        <v>13</v>
      </c>
      <c r="B14" s="31" t="s">
        <v>367</v>
      </c>
      <c r="C14" s="31" t="s">
        <v>22</v>
      </c>
      <c r="D14" s="31" t="s">
        <v>84</v>
      </c>
      <c r="E14" s="31" t="s">
        <v>24</v>
      </c>
      <c r="F14" s="31" t="s">
        <v>30</v>
      </c>
      <c r="G14" s="31" t="s">
        <v>25</v>
      </c>
      <c r="H14" s="31" t="s">
        <v>25</v>
      </c>
      <c r="I14" s="31" t="s">
        <v>25</v>
      </c>
      <c r="J14" s="31" t="s">
        <v>515</v>
      </c>
      <c r="K14" s="31" t="s">
        <v>513</v>
      </c>
      <c r="L14" s="31" t="s">
        <v>68</v>
      </c>
      <c r="M14" s="31">
        <v>2021</v>
      </c>
      <c r="N14" s="31">
        <v>0</v>
      </c>
      <c r="O14" s="31">
        <v>222.18</v>
      </c>
      <c r="P14" s="31">
        <v>0</v>
      </c>
    </row>
    <row r="15" spans="1:50" ht="11.25" customHeight="1" x14ac:dyDescent="0.3">
      <c r="A15" s="31">
        <v>14</v>
      </c>
      <c r="B15" s="31" t="s">
        <v>367</v>
      </c>
      <c r="C15" s="31" t="s">
        <v>33</v>
      </c>
      <c r="D15" s="31" t="s">
        <v>37</v>
      </c>
      <c r="E15" s="31" t="s">
        <v>25</v>
      </c>
      <c r="F15" s="31" t="s">
        <v>25</v>
      </c>
      <c r="G15" s="31" t="s">
        <v>25</v>
      </c>
      <c r="H15" s="31" t="s">
        <v>25</v>
      </c>
      <c r="I15" s="31" t="s">
        <v>36</v>
      </c>
      <c r="J15" s="31" t="s">
        <v>515</v>
      </c>
      <c r="K15" s="31" t="s">
        <v>513</v>
      </c>
      <c r="L15" s="31" t="s">
        <v>68</v>
      </c>
      <c r="M15" s="31">
        <v>2021</v>
      </c>
      <c r="N15" s="31">
        <v>0</v>
      </c>
      <c r="O15" s="31">
        <v>82.94</v>
      </c>
      <c r="P15" s="31">
        <v>61.535569762952399</v>
      </c>
    </row>
    <row r="16" spans="1:50" ht="11.25" customHeight="1" x14ac:dyDescent="0.3">
      <c r="A16" s="31">
        <v>15</v>
      </c>
      <c r="B16" s="31" t="s">
        <v>367</v>
      </c>
      <c r="C16" s="31" t="s">
        <v>22</v>
      </c>
      <c r="D16" s="31" t="s">
        <v>84</v>
      </c>
      <c r="E16" s="31" t="s">
        <v>24</v>
      </c>
      <c r="F16" s="31" t="s">
        <v>27</v>
      </c>
      <c r="G16" s="31" t="s">
        <v>25</v>
      </c>
      <c r="H16" s="31" t="s">
        <v>25</v>
      </c>
      <c r="I16" s="31" t="s">
        <v>25</v>
      </c>
      <c r="J16" s="31" t="s">
        <v>515</v>
      </c>
      <c r="K16" s="31" t="s">
        <v>513</v>
      </c>
      <c r="L16" s="31" t="s">
        <v>68</v>
      </c>
      <c r="M16" s="31">
        <v>2021</v>
      </c>
      <c r="N16" s="31">
        <v>0</v>
      </c>
      <c r="O16" s="31">
        <v>77.760000000000005</v>
      </c>
      <c r="P16" s="31">
        <v>0</v>
      </c>
    </row>
    <row r="17" spans="1:16" ht="11.25" customHeight="1" x14ac:dyDescent="0.3">
      <c r="A17" s="31">
        <v>16</v>
      </c>
      <c r="B17" s="31" t="s">
        <v>367</v>
      </c>
      <c r="C17" s="31" t="s">
        <v>22</v>
      </c>
      <c r="D17" s="31" t="s">
        <v>23</v>
      </c>
      <c r="E17" s="31" t="s">
        <v>24</v>
      </c>
      <c r="F17" s="31" t="s">
        <v>27</v>
      </c>
      <c r="G17" s="31" t="s">
        <v>25</v>
      </c>
      <c r="H17" s="31" t="s">
        <v>25</v>
      </c>
      <c r="I17" s="31" t="s">
        <v>25</v>
      </c>
      <c r="J17" s="31" t="s">
        <v>515</v>
      </c>
      <c r="K17" s="31" t="s">
        <v>513</v>
      </c>
      <c r="L17" s="31" t="s">
        <v>68</v>
      </c>
      <c r="M17" s="31">
        <v>2021</v>
      </c>
      <c r="N17" s="31">
        <v>0</v>
      </c>
      <c r="O17" s="31">
        <v>77.760000000000005</v>
      </c>
      <c r="P17" s="31">
        <v>0</v>
      </c>
    </row>
    <row r="18" spans="1:16" ht="11.25" customHeight="1" x14ac:dyDescent="0.3">
      <c r="A18" s="31">
        <v>17</v>
      </c>
      <c r="B18" s="31" t="s">
        <v>367</v>
      </c>
      <c r="C18" s="31" t="s">
        <v>31</v>
      </c>
      <c r="D18" s="31" t="s">
        <v>82</v>
      </c>
      <c r="E18" s="31" t="s">
        <v>25</v>
      </c>
      <c r="F18" s="31" t="s">
        <v>25</v>
      </c>
      <c r="G18" s="31" t="s">
        <v>25</v>
      </c>
      <c r="H18" s="31" t="s">
        <v>25</v>
      </c>
      <c r="I18" s="31" t="s">
        <v>35</v>
      </c>
      <c r="J18" s="31" t="s">
        <v>515</v>
      </c>
      <c r="K18" s="31" t="s">
        <v>513</v>
      </c>
      <c r="L18" s="31" t="s">
        <v>68</v>
      </c>
      <c r="M18" s="31">
        <v>2021</v>
      </c>
      <c r="N18" s="31">
        <v>0</v>
      </c>
      <c r="O18" s="31">
        <v>782.23</v>
      </c>
      <c r="P18" s="31">
        <v>70.730539957416596</v>
      </c>
    </row>
    <row r="19" spans="1:16" ht="11.25" customHeight="1" x14ac:dyDescent="0.3">
      <c r="A19" s="31">
        <v>18</v>
      </c>
      <c r="B19" s="31" t="s">
        <v>367</v>
      </c>
      <c r="C19" s="31" t="s">
        <v>22</v>
      </c>
      <c r="D19" s="31" t="s">
        <v>84</v>
      </c>
      <c r="E19" s="31" t="s">
        <v>24</v>
      </c>
      <c r="F19" s="31" t="s">
        <v>24</v>
      </c>
      <c r="G19" s="31" t="s">
        <v>25</v>
      </c>
      <c r="H19" s="31" t="s">
        <v>25</v>
      </c>
      <c r="I19" s="31" t="s">
        <v>25</v>
      </c>
      <c r="J19" s="31" t="s">
        <v>515</v>
      </c>
      <c r="K19" s="31" t="s">
        <v>513</v>
      </c>
      <c r="L19" s="31" t="s">
        <v>68</v>
      </c>
      <c r="M19" s="31">
        <v>2021</v>
      </c>
      <c r="N19" s="31">
        <v>0</v>
      </c>
      <c r="O19" s="31">
        <v>303.64999999999998</v>
      </c>
      <c r="P19" s="31">
        <v>70.730539957416596</v>
      </c>
    </row>
    <row r="20" spans="1:16" ht="11.25" customHeight="1" x14ac:dyDescent="0.3">
      <c r="A20" s="31">
        <v>19</v>
      </c>
      <c r="B20" s="31" t="s">
        <v>367</v>
      </c>
      <c r="C20" s="31" t="s">
        <v>33</v>
      </c>
      <c r="D20" s="31" t="s">
        <v>37</v>
      </c>
      <c r="E20" s="31" t="s">
        <v>25</v>
      </c>
      <c r="F20" s="31" t="s">
        <v>25</v>
      </c>
      <c r="G20" s="31" t="s">
        <v>75</v>
      </c>
      <c r="H20" s="31" t="s">
        <v>25</v>
      </c>
      <c r="I20" s="31" t="s">
        <v>35</v>
      </c>
      <c r="J20" s="31" t="s">
        <v>515</v>
      </c>
      <c r="K20" s="31" t="s">
        <v>513</v>
      </c>
      <c r="L20" s="31" t="s">
        <v>68</v>
      </c>
      <c r="M20" s="31">
        <v>2021</v>
      </c>
      <c r="N20" s="31">
        <v>0</v>
      </c>
      <c r="O20" s="31">
        <v>1297.04</v>
      </c>
      <c r="P20" s="31">
        <v>0</v>
      </c>
    </row>
    <row r="21" spans="1:16" ht="11.25" customHeight="1" x14ac:dyDescent="0.3">
      <c r="A21" s="31">
        <v>20</v>
      </c>
      <c r="B21" s="31" t="s">
        <v>367</v>
      </c>
      <c r="C21" s="31" t="s">
        <v>22</v>
      </c>
      <c r="D21" s="31" t="s">
        <v>23</v>
      </c>
      <c r="E21" s="31" t="s">
        <v>24</v>
      </c>
      <c r="F21" s="31" t="s">
        <v>24</v>
      </c>
      <c r="G21" s="31" t="s">
        <v>25</v>
      </c>
      <c r="H21" s="31" t="s">
        <v>25</v>
      </c>
      <c r="I21" s="31" t="s">
        <v>25</v>
      </c>
      <c r="J21" s="31" t="s">
        <v>515</v>
      </c>
      <c r="K21" s="31" t="s">
        <v>513</v>
      </c>
      <c r="L21" s="31" t="s">
        <v>68</v>
      </c>
      <c r="M21" s="31">
        <v>2021</v>
      </c>
      <c r="N21" s="31">
        <v>0</v>
      </c>
      <c r="O21" s="31">
        <v>303.64999999999998</v>
      </c>
      <c r="P21" s="31">
        <v>70.730539957416596</v>
      </c>
    </row>
    <row r="22" spans="1:16" ht="11.25" customHeight="1" x14ac:dyDescent="0.3">
      <c r="A22" s="31">
        <v>21</v>
      </c>
      <c r="B22" s="31" t="s">
        <v>367</v>
      </c>
      <c r="C22" s="31" t="s">
        <v>33</v>
      </c>
      <c r="D22" s="31" t="s">
        <v>37</v>
      </c>
      <c r="E22" s="31" t="s">
        <v>25</v>
      </c>
      <c r="F22" s="31" t="s">
        <v>25</v>
      </c>
      <c r="G22" s="31" t="s">
        <v>25</v>
      </c>
      <c r="H22" s="31" t="s">
        <v>25</v>
      </c>
      <c r="I22" s="31" t="s">
        <v>25</v>
      </c>
      <c r="J22" s="31" t="s">
        <v>512</v>
      </c>
      <c r="K22" s="31" t="s">
        <v>513</v>
      </c>
      <c r="L22" s="31" t="s">
        <v>71</v>
      </c>
      <c r="M22" s="31">
        <v>2021</v>
      </c>
      <c r="N22" s="31">
        <v>0</v>
      </c>
      <c r="O22" s="31">
        <v>18.72</v>
      </c>
      <c r="P22" s="31">
        <v>0</v>
      </c>
    </row>
    <row r="23" spans="1:16" ht="11.25" customHeight="1" x14ac:dyDescent="0.3">
      <c r="A23" s="31">
        <v>22</v>
      </c>
      <c r="B23" s="31" t="s">
        <v>367</v>
      </c>
      <c r="C23" s="31" t="s">
        <v>22</v>
      </c>
      <c r="D23" s="31" t="s">
        <v>23</v>
      </c>
      <c r="E23" s="31" t="s">
        <v>24</v>
      </c>
      <c r="F23" s="31" t="s">
        <v>30</v>
      </c>
      <c r="G23" s="31" t="s">
        <v>25</v>
      </c>
      <c r="H23" s="31" t="s">
        <v>25</v>
      </c>
      <c r="I23" s="31" t="s">
        <v>25</v>
      </c>
      <c r="J23" s="31" t="s">
        <v>515</v>
      </c>
      <c r="K23" s="31" t="s">
        <v>513</v>
      </c>
      <c r="L23" s="31" t="s">
        <v>68</v>
      </c>
      <c r="M23" s="31">
        <v>2021</v>
      </c>
      <c r="N23" s="31">
        <v>0</v>
      </c>
      <c r="O23" s="31">
        <v>222.18</v>
      </c>
      <c r="P23" s="31">
        <v>0</v>
      </c>
    </row>
    <row r="24" spans="1:16" ht="11.25" customHeight="1" x14ac:dyDescent="0.3">
      <c r="A24" s="31">
        <v>23</v>
      </c>
      <c r="B24" s="31" t="s">
        <v>367</v>
      </c>
      <c r="C24" s="31" t="s">
        <v>33</v>
      </c>
      <c r="D24" s="31" t="s">
        <v>76</v>
      </c>
      <c r="E24" s="31" t="s">
        <v>25</v>
      </c>
      <c r="F24" s="31" t="s">
        <v>25</v>
      </c>
      <c r="G24" s="31" t="s">
        <v>25</v>
      </c>
      <c r="H24" s="31" t="s">
        <v>25</v>
      </c>
      <c r="I24" s="31" t="s">
        <v>25</v>
      </c>
      <c r="J24" s="31" t="s">
        <v>512</v>
      </c>
      <c r="K24" s="31" t="s">
        <v>513</v>
      </c>
      <c r="L24" s="31" t="s">
        <v>71</v>
      </c>
      <c r="M24" s="31">
        <v>2021</v>
      </c>
      <c r="N24" s="31">
        <v>0</v>
      </c>
      <c r="O24" s="31">
        <v>2.95</v>
      </c>
      <c r="P24" s="31">
        <v>0</v>
      </c>
    </row>
    <row r="25" spans="1:16" ht="11.25" customHeight="1" x14ac:dyDescent="0.3">
      <c r="A25" s="31">
        <v>24</v>
      </c>
      <c r="B25" s="31" t="s">
        <v>367</v>
      </c>
      <c r="C25" s="31" t="s">
        <v>77</v>
      </c>
      <c r="D25" s="31" t="s">
        <v>76</v>
      </c>
      <c r="E25" s="31" t="s">
        <v>25</v>
      </c>
      <c r="F25" s="31" t="s">
        <v>25</v>
      </c>
      <c r="G25" s="31" t="s">
        <v>79</v>
      </c>
      <c r="H25" s="31" t="s">
        <v>25</v>
      </c>
      <c r="I25" s="31" t="s">
        <v>25</v>
      </c>
      <c r="J25" s="31" t="s">
        <v>512</v>
      </c>
      <c r="K25" s="31" t="s">
        <v>513</v>
      </c>
      <c r="L25" s="31" t="s">
        <v>71</v>
      </c>
      <c r="M25" s="31">
        <v>2021</v>
      </c>
      <c r="N25" s="31">
        <v>0</v>
      </c>
      <c r="O25" s="31">
        <v>6.17</v>
      </c>
      <c r="P25" s="31">
        <v>0</v>
      </c>
    </row>
    <row r="26" spans="1:16" ht="11.25" customHeight="1" x14ac:dyDescent="0.3">
      <c r="A26" s="31">
        <v>25</v>
      </c>
      <c r="B26" s="31" t="s">
        <v>367</v>
      </c>
      <c r="C26" s="31" t="s">
        <v>33</v>
      </c>
      <c r="D26" s="31" t="s">
        <v>37</v>
      </c>
      <c r="E26" s="31" t="s">
        <v>25</v>
      </c>
      <c r="F26" s="31" t="s">
        <v>25</v>
      </c>
      <c r="G26" s="31" t="s">
        <v>25</v>
      </c>
      <c r="H26" s="31" t="s">
        <v>25</v>
      </c>
      <c r="I26" s="31" t="s">
        <v>35</v>
      </c>
      <c r="J26" s="31" t="s">
        <v>515</v>
      </c>
      <c r="K26" s="31" t="s">
        <v>513</v>
      </c>
      <c r="L26" s="31" t="s">
        <v>68</v>
      </c>
      <c r="M26" s="31">
        <v>2021</v>
      </c>
      <c r="N26" s="31">
        <v>0</v>
      </c>
      <c r="O26" s="31">
        <v>1369.31</v>
      </c>
      <c r="P26" s="31">
        <v>61.535569762952399</v>
      </c>
    </row>
    <row r="27" spans="1:16" ht="11.25" customHeight="1" x14ac:dyDescent="0.3">
      <c r="A27" s="31">
        <v>26</v>
      </c>
      <c r="B27" s="31" t="s">
        <v>367</v>
      </c>
      <c r="C27" s="31" t="s">
        <v>39</v>
      </c>
      <c r="D27" s="31" t="s">
        <v>23</v>
      </c>
      <c r="E27" s="31" t="s">
        <v>40</v>
      </c>
      <c r="F27" s="31" t="s">
        <v>86</v>
      </c>
      <c r="G27" s="31" t="s">
        <v>25</v>
      </c>
      <c r="H27" s="31" t="s">
        <v>25</v>
      </c>
      <c r="I27" s="31" t="s">
        <v>25</v>
      </c>
      <c r="J27" s="31" t="s">
        <v>515</v>
      </c>
      <c r="K27" s="31" t="s">
        <v>513</v>
      </c>
      <c r="L27" s="31" t="s">
        <v>68</v>
      </c>
      <c r="M27" s="31">
        <v>2021</v>
      </c>
      <c r="N27" s="31">
        <v>0</v>
      </c>
      <c r="O27" s="31">
        <v>255.06</v>
      </c>
      <c r="P27" s="31">
        <v>59.413653564229897</v>
      </c>
    </row>
    <row r="28" spans="1:16" ht="11.25" customHeight="1" x14ac:dyDescent="0.3">
      <c r="A28" s="31">
        <v>27</v>
      </c>
      <c r="B28" s="31" t="s">
        <v>395</v>
      </c>
      <c r="C28" s="31" t="s">
        <v>22</v>
      </c>
      <c r="D28" s="31" t="s">
        <v>67</v>
      </c>
      <c r="E28" s="31" t="s">
        <v>24</v>
      </c>
      <c r="F28" s="31" t="s">
        <v>24</v>
      </c>
      <c r="G28" s="31" t="s">
        <v>25</v>
      </c>
      <c r="H28" s="31" t="s">
        <v>25</v>
      </c>
      <c r="I28" s="31" t="s">
        <v>35</v>
      </c>
      <c r="J28" s="31" t="s">
        <v>515</v>
      </c>
      <c r="K28" s="31" t="s">
        <v>513</v>
      </c>
      <c r="L28" s="31" t="s">
        <v>68</v>
      </c>
      <c r="M28" s="31">
        <v>2021</v>
      </c>
      <c r="N28" s="31">
        <v>0</v>
      </c>
      <c r="O28" s="31">
        <v>310.5</v>
      </c>
      <c r="P28" s="31"/>
    </row>
    <row r="29" spans="1:16" ht="11.25" customHeight="1" x14ac:dyDescent="0.3">
      <c r="A29" s="31">
        <v>28</v>
      </c>
      <c r="B29" s="31" t="s">
        <v>367</v>
      </c>
      <c r="C29" s="31" t="s">
        <v>22</v>
      </c>
      <c r="D29" s="31" t="s">
        <v>84</v>
      </c>
      <c r="E29" s="31" t="s">
        <v>24</v>
      </c>
      <c r="F29" s="31" t="s">
        <v>28</v>
      </c>
      <c r="G29" s="31" t="s">
        <v>25</v>
      </c>
      <c r="H29" s="31" t="s">
        <v>25</v>
      </c>
      <c r="I29" s="31" t="s">
        <v>25</v>
      </c>
      <c r="J29" s="31" t="s">
        <v>515</v>
      </c>
      <c r="K29" s="31" t="s">
        <v>513</v>
      </c>
      <c r="L29" s="31" t="s">
        <v>68</v>
      </c>
      <c r="M29" s="31">
        <v>2021</v>
      </c>
      <c r="N29" s="31">
        <v>0</v>
      </c>
      <c r="O29" s="31">
        <v>133.31</v>
      </c>
      <c r="P29" s="31">
        <v>0</v>
      </c>
    </row>
    <row r="30" spans="1:16" ht="11.25" customHeight="1" x14ac:dyDescent="0.3">
      <c r="A30" s="31">
        <v>29</v>
      </c>
      <c r="B30" s="31" t="s">
        <v>367</v>
      </c>
      <c r="C30" s="31" t="s">
        <v>39</v>
      </c>
      <c r="D30" s="31" t="s">
        <v>84</v>
      </c>
      <c r="E30" s="31" t="s">
        <v>40</v>
      </c>
      <c r="F30" s="31" t="s">
        <v>25</v>
      </c>
      <c r="G30" s="31" t="s">
        <v>25</v>
      </c>
      <c r="H30" s="31" t="s">
        <v>25</v>
      </c>
      <c r="I30" s="31" t="s">
        <v>25</v>
      </c>
      <c r="J30" s="31" t="s">
        <v>515</v>
      </c>
      <c r="K30" s="31" t="s">
        <v>513</v>
      </c>
      <c r="L30" s="31" t="s">
        <v>68</v>
      </c>
      <c r="M30" s="31">
        <v>2021</v>
      </c>
      <c r="N30" s="31">
        <v>0</v>
      </c>
      <c r="O30" s="31">
        <v>267.20999999999998</v>
      </c>
      <c r="P30" s="31">
        <v>62.242875162526602</v>
      </c>
    </row>
    <row r="31" spans="1:16" ht="11.25" customHeight="1" x14ac:dyDescent="0.3">
      <c r="A31" s="31">
        <v>30</v>
      </c>
      <c r="B31" s="31" t="s">
        <v>395</v>
      </c>
      <c r="C31" s="31" t="s">
        <v>22</v>
      </c>
      <c r="D31" s="31" t="s">
        <v>67</v>
      </c>
      <c r="E31" s="31" t="s">
        <v>24</v>
      </c>
      <c r="F31" s="31" t="s">
        <v>24</v>
      </c>
      <c r="G31" s="31" t="s">
        <v>25</v>
      </c>
      <c r="H31" s="31" t="s">
        <v>25</v>
      </c>
      <c r="I31" s="31" t="s">
        <v>514</v>
      </c>
      <c r="J31" s="31" t="s">
        <v>515</v>
      </c>
      <c r="K31" s="31" t="s">
        <v>513</v>
      </c>
      <c r="L31" s="31" t="s">
        <v>68</v>
      </c>
      <c r="M31" s="31">
        <v>2021</v>
      </c>
      <c r="N31" s="31">
        <v>0</v>
      </c>
      <c r="O31" s="31">
        <v>310.5</v>
      </c>
      <c r="P31" s="31"/>
    </row>
    <row r="32" spans="1:16" ht="11.25" customHeight="1" x14ac:dyDescent="0.3">
      <c r="A32" s="31">
        <v>31</v>
      </c>
      <c r="B32" s="31" t="s">
        <v>367</v>
      </c>
      <c r="C32" s="31" t="s">
        <v>39</v>
      </c>
      <c r="D32" s="31" t="s">
        <v>82</v>
      </c>
      <c r="E32" s="31" t="s">
        <v>40</v>
      </c>
      <c r="F32" s="31" t="s">
        <v>85</v>
      </c>
      <c r="G32" s="31" t="s">
        <v>25</v>
      </c>
      <c r="H32" s="31" t="s">
        <v>25</v>
      </c>
      <c r="I32" s="31" t="s">
        <v>514</v>
      </c>
      <c r="J32" s="31" t="s">
        <v>515</v>
      </c>
      <c r="K32" s="31" t="s">
        <v>513</v>
      </c>
      <c r="L32" s="31" t="s">
        <v>68</v>
      </c>
      <c r="M32" s="31">
        <v>2021</v>
      </c>
      <c r="N32" s="31">
        <v>0</v>
      </c>
      <c r="O32" s="31">
        <v>399.54</v>
      </c>
      <c r="P32" s="31">
        <v>62.242875162526602</v>
      </c>
    </row>
    <row r="33" spans="1:16" ht="11.25" customHeight="1" x14ac:dyDescent="0.3">
      <c r="A33" s="31">
        <v>32</v>
      </c>
      <c r="B33" s="31" t="s">
        <v>367</v>
      </c>
      <c r="C33" s="31" t="s">
        <v>31</v>
      </c>
      <c r="D33" s="31" t="s">
        <v>23</v>
      </c>
      <c r="E33" s="31" t="s">
        <v>25</v>
      </c>
      <c r="F33" s="31" t="s">
        <v>25</v>
      </c>
      <c r="G33" s="31" t="s">
        <v>25</v>
      </c>
      <c r="H33" s="31" t="s">
        <v>25</v>
      </c>
      <c r="I33" s="31" t="s">
        <v>25</v>
      </c>
      <c r="J33" s="31" t="s">
        <v>515</v>
      </c>
      <c r="K33" s="31" t="s">
        <v>513</v>
      </c>
      <c r="L33" s="31" t="s">
        <v>68</v>
      </c>
      <c r="M33" s="31">
        <v>2021</v>
      </c>
      <c r="N33" s="31">
        <v>0</v>
      </c>
      <c r="O33" s="31">
        <v>303.64999999999998</v>
      </c>
      <c r="P33" s="31">
        <v>70.730539957416596</v>
      </c>
    </row>
    <row r="34" spans="1:16" ht="11.25" customHeight="1" x14ac:dyDescent="0.3">
      <c r="A34" s="31">
        <v>33</v>
      </c>
      <c r="B34" s="31" t="s">
        <v>367</v>
      </c>
      <c r="C34" s="31" t="s">
        <v>39</v>
      </c>
      <c r="D34" s="31" t="s">
        <v>23</v>
      </c>
      <c r="E34" s="31" t="s">
        <v>40</v>
      </c>
      <c r="F34" s="31" t="s">
        <v>25</v>
      </c>
      <c r="G34" s="31" t="s">
        <v>25</v>
      </c>
      <c r="H34" s="31" t="s">
        <v>25</v>
      </c>
      <c r="I34" s="31" t="s">
        <v>25</v>
      </c>
      <c r="J34" s="31" t="s">
        <v>515</v>
      </c>
      <c r="K34" s="31" t="s">
        <v>513</v>
      </c>
      <c r="L34" s="31" t="s">
        <v>68</v>
      </c>
      <c r="M34" s="31">
        <v>2021</v>
      </c>
      <c r="N34" s="31">
        <v>0</v>
      </c>
      <c r="O34" s="31">
        <v>267.20999999999998</v>
      </c>
      <c r="P34" s="31">
        <v>62.242875162526602</v>
      </c>
    </row>
    <row r="35" spans="1:16" ht="11.25" customHeight="1" x14ac:dyDescent="0.3">
      <c r="A35" s="31">
        <v>34</v>
      </c>
      <c r="B35" s="31" t="s">
        <v>367</v>
      </c>
      <c r="C35" s="31" t="s">
        <v>31</v>
      </c>
      <c r="D35" s="31" t="s">
        <v>82</v>
      </c>
      <c r="E35" s="31" t="s">
        <v>25</v>
      </c>
      <c r="F35" s="31" t="s">
        <v>25</v>
      </c>
      <c r="G35" s="31" t="s">
        <v>25</v>
      </c>
      <c r="H35" s="31" t="s">
        <v>25</v>
      </c>
      <c r="I35" s="31" t="s">
        <v>514</v>
      </c>
      <c r="J35" s="31" t="s">
        <v>515</v>
      </c>
      <c r="K35" s="31" t="s">
        <v>513</v>
      </c>
      <c r="L35" s="31" t="s">
        <v>68</v>
      </c>
      <c r="M35" s="31">
        <v>2021</v>
      </c>
      <c r="N35" s="31">
        <v>0</v>
      </c>
      <c r="O35" s="31">
        <v>512.63</v>
      </c>
      <c r="P35" s="31">
        <v>70.730539957416596</v>
      </c>
    </row>
    <row r="36" spans="1:16" ht="11.25" customHeight="1" x14ac:dyDescent="0.3">
      <c r="A36" s="31">
        <v>35</v>
      </c>
      <c r="B36" s="31" t="s">
        <v>367</v>
      </c>
      <c r="C36" s="31" t="s">
        <v>33</v>
      </c>
      <c r="D36" s="31" t="s">
        <v>34</v>
      </c>
      <c r="E36" s="31" t="s">
        <v>25</v>
      </c>
      <c r="F36" s="31" t="s">
        <v>25</v>
      </c>
      <c r="G36" s="31" t="s">
        <v>25</v>
      </c>
      <c r="H36" s="31" t="s">
        <v>25</v>
      </c>
      <c r="I36" s="31" t="s">
        <v>25</v>
      </c>
      <c r="J36" s="31" t="s">
        <v>515</v>
      </c>
      <c r="K36" s="31" t="s">
        <v>513</v>
      </c>
      <c r="L36" s="31" t="s">
        <v>68</v>
      </c>
      <c r="M36" s="31">
        <v>2021</v>
      </c>
      <c r="N36" s="31">
        <v>0</v>
      </c>
      <c r="O36" s="31">
        <v>82.94</v>
      </c>
      <c r="P36" s="31">
        <v>61.535569762952399</v>
      </c>
    </row>
    <row r="37" spans="1:16" ht="11.25" customHeight="1" x14ac:dyDescent="0.3">
      <c r="A37" s="31">
        <v>36</v>
      </c>
      <c r="B37" s="31" t="s">
        <v>367</v>
      </c>
      <c r="C37" s="31" t="s">
        <v>39</v>
      </c>
      <c r="D37" s="31" t="s">
        <v>84</v>
      </c>
      <c r="E37" s="31" t="s">
        <v>40</v>
      </c>
      <c r="F37" s="31" t="s">
        <v>86</v>
      </c>
      <c r="G37" s="31" t="s">
        <v>25</v>
      </c>
      <c r="H37" s="31" t="s">
        <v>25</v>
      </c>
      <c r="I37" s="31" t="s">
        <v>25</v>
      </c>
      <c r="J37" s="31" t="s">
        <v>515</v>
      </c>
      <c r="K37" s="31" t="s">
        <v>513</v>
      </c>
      <c r="L37" s="31" t="s">
        <v>68</v>
      </c>
      <c r="M37" s="31">
        <v>2021</v>
      </c>
      <c r="N37" s="31">
        <v>0</v>
      </c>
      <c r="O37" s="31">
        <v>255.06</v>
      </c>
      <c r="P37" s="31">
        <v>59.413653564229897</v>
      </c>
    </row>
    <row r="38" spans="1:16" ht="11.25" customHeight="1" x14ac:dyDescent="0.3">
      <c r="A38" s="31">
        <v>37</v>
      </c>
      <c r="B38" s="31" t="s">
        <v>395</v>
      </c>
      <c r="C38" s="31" t="s">
        <v>22</v>
      </c>
      <c r="D38" s="31" t="s">
        <v>81</v>
      </c>
      <c r="E38" s="31" t="s">
        <v>24</v>
      </c>
      <c r="F38" s="31" t="s">
        <v>24</v>
      </c>
      <c r="G38" s="31" t="s">
        <v>25</v>
      </c>
      <c r="H38" s="31" t="s">
        <v>25</v>
      </c>
      <c r="I38" s="31" t="s">
        <v>25</v>
      </c>
      <c r="J38" s="31" t="s">
        <v>515</v>
      </c>
      <c r="K38" s="31" t="s">
        <v>513</v>
      </c>
      <c r="L38" s="31" t="s">
        <v>68</v>
      </c>
      <c r="M38" s="31">
        <v>2021</v>
      </c>
      <c r="N38" s="31">
        <v>0</v>
      </c>
      <c r="O38" s="31">
        <v>310.5</v>
      </c>
      <c r="P38" s="31"/>
    </row>
    <row r="39" spans="1:16" ht="11.25" customHeight="1" x14ac:dyDescent="0.3">
      <c r="A39" s="31">
        <v>38</v>
      </c>
      <c r="B39" s="31" t="s">
        <v>367</v>
      </c>
      <c r="C39" s="31" t="s">
        <v>39</v>
      </c>
      <c r="D39" s="31" t="s">
        <v>23</v>
      </c>
      <c r="E39" s="31" t="s">
        <v>40</v>
      </c>
      <c r="F39" s="31" t="s">
        <v>85</v>
      </c>
      <c r="G39" s="31" t="s">
        <v>25</v>
      </c>
      <c r="H39" s="31" t="s">
        <v>25</v>
      </c>
      <c r="I39" s="31" t="s">
        <v>25</v>
      </c>
      <c r="J39" s="31" t="s">
        <v>515</v>
      </c>
      <c r="K39" s="31" t="s">
        <v>513</v>
      </c>
      <c r="L39" s="31" t="s">
        <v>68</v>
      </c>
      <c r="M39" s="31">
        <v>2021</v>
      </c>
      <c r="N39" s="31">
        <v>0</v>
      </c>
      <c r="O39" s="31">
        <v>267.20999999999998</v>
      </c>
      <c r="P39" s="31">
        <v>62.242875162526602</v>
      </c>
    </row>
    <row r="40" spans="1:16" ht="11.25" customHeight="1" x14ac:dyDescent="0.3">
      <c r="A40" s="31">
        <v>39</v>
      </c>
      <c r="B40" s="31" t="s">
        <v>367</v>
      </c>
      <c r="C40" s="31" t="s">
        <v>43</v>
      </c>
      <c r="D40" s="31" t="s">
        <v>23</v>
      </c>
      <c r="E40" s="31" t="s">
        <v>44</v>
      </c>
      <c r="F40" s="31" t="s">
        <v>45</v>
      </c>
      <c r="G40" s="31" t="s">
        <v>25</v>
      </c>
      <c r="H40" s="31" t="s">
        <v>25</v>
      </c>
      <c r="I40" s="31" t="s">
        <v>25</v>
      </c>
      <c r="J40" s="31" t="s">
        <v>515</v>
      </c>
      <c r="K40" s="31" t="s">
        <v>513</v>
      </c>
      <c r="L40" s="31" t="s">
        <v>68</v>
      </c>
      <c r="M40" s="31">
        <v>2021</v>
      </c>
      <c r="N40" s="31">
        <v>0</v>
      </c>
      <c r="O40" s="31">
        <v>167.01</v>
      </c>
      <c r="P40" s="31">
        <v>38.901796976579099</v>
      </c>
    </row>
    <row r="41" spans="1:16" ht="11.25" customHeight="1" x14ac:dyDescent="0.3">
      <c r="A41" s="31">
        <v>40</v>
      </c>
      <c r="B41" s="31" t="s">
        <v>367</v>
      </c>
      <c r="C41" s="31" t="s">
        <v>39</v>
      </c>
      <c r="D41" s="31" t="s">
        <v>82</v>
      </c>
      <c r="E41" s="31" t="s">
        <v>40</v>
      </c>
      <c r="F41" s="31" t="s">
        <v>86</v>
      </c>
      <c r="G41" s="31" t="s">
        <v>25</v>
      </c>
      <c r="H41" s="31" t="s">
        <v>25</v>
      </c>
      <c r="I41" s="31" t="s">
        <v>514</v>
      </c>
      <c r="J41" s="31" t="s">
        <v>515</v>
      </c>
      <c r="K41" s="31" t="s">
        <v>513</v>
      </c>
      <c r="L41" s="31" t="s">
        <v>68</v>
      </c>
      <c r="M41" s="31">
        <v>2021</v>
      </c>
      <c r="N41" s="31">
        <v>0</v>
      </c>
      <c r="O41" s="31">
        <v>381.37</v>
      </c>
      <c r="P41" s="31">
        <v>59.413653564229897</v>
      </c>
    </row>
    <row r="42" spans="1:16" ht="11.25" customHeight="1" x14ac:dyDescent="0.3">
      <c r="A42" s="31">
        <v>41</v>
      </c>
      <c r="B42" s="31" t="s">
        <v>395</v>
      </c>
      <c r="C42" s="31" t="s">
        <v>33</v>
      </c>
      <c r="D42" s="31" t="s">
        <v>67</v>
      </c>
      <c r="E42" s="31" t="s">
        <v>25</v>
      </c>
      <c r="F42" s="31" t="s">
        <v>25</v>
      </c>
      <c r="G42" s="31" t="s">
        <v>25</v>
      </c>
      <c r="H42" s="31" t="s">
        <v>25</v>
      </c>
      <c r="I42" s="31" t="s">
        <v>35</v>
      </c>
      <c r="J42" s="31" t="s">
        <v>515</v>
      </c>
      <c r="K42" s="31" t="s">
        <v>513</v>
      </c>
      <c r="L42" s="31" t="s">
        <v>68</v>
      </c>
      <c r="M42" s="31">
        <v>2021</v>
      </c>
      <c r="N42" s="31">
        <v>0</v>
      </c>
      <c r="O42" s="31">
        <v>310.5</v>
      </c>
      <c r="P42" s="31"/>
    </row>
    <row r="43" spans="1:16" ht="11.25" customHeight="1" x14ac:dyDescent="0.3">
      <c r="A43" s="31">
        <v>42</v>
      </c>
      <c r="B43" s="31" t="s">
        <v>367</v>
      </c>
      <c r="C43" s="31" t="s">
        <v>22</v>
      </c>
      <c r="D43" s="31" t="s">
        <v>23</v>
      </c>
      <c r="E43" s="31" t="s">
        <v>24</v>
      </c>
      <c r="F43" s="31" t="s">
        <v>29</v>
      </c>
      <c r="G43" s="31" t="s">
        <v>25</v>
      </c>
      <c r="H43" s="31" t="s">
        <v>25</v>
      </c>
      <c r="I43" s="31" t="s">
        <v>25</v>
      </c>
      <c r="J43" s="31" t="s">
        <v>515</v>
      </c>
      <c r="K43" s="31" t="s">
        <v>513</v>
      </c>
      <c r="L43" s="31" t="s">
        <v>68</v>
      </c>
      <c r="M43" s="31">
        <v>2021</v>
      </c>
      <c r="N43" s="31">
        <v>0</v>
      </c>
      <c r="O43" s="31">
        <v>199.96</v>
      </c>
      <c r="P43" s="31">
        <v>0</v>
      </c>
    </row>
    <row r="44" spans="1:16" ht="11.25" customHeight="1" x14ac:dyDescent="0.3">
      <c r="A44" s="31">
        <v>43</v>
      </c>
      <c r="B44" s="31" t="s">
        <v>367</v>
      </c>
      <c r="C44" s="31" t="s">
        <v>39</v>
      </c>
      <c r="D44" s="31" t="s">
        <v>82</v>
      </c>
      <c r="E44" s="31" t="s">
        <v>40</v>
      </c>
      <c r="F44" s="31" t="s">
        <v>25</v>
      </c>
      <c r="G44" s="31" t="s">
        <v>25</v>
      </c>
      <c r="H44" s="31" t="s">
        <v>25</v>
      </c>
      <c r="I44" s="31" t="s">
        <v>36</v>
      </c>
      <c r="J44" s="31" t="s">
        <v>515</v>
      </c>
      <c r="K44" s="31" t="s">
        <v>513</v>
      </c>
      <c r="L44" s="31" t="s">
        <v>68</v>
      </c>
      <c r="M44" s="31">
        <v>2021</v>
      </c>
      <c r="N44" s="31">
        <v>0</v>
      </c>
      <c r="O44" s="31">
        <v>196.71</v>
      </c>
      <c r="P44" s="31">
        <v>62.242875162526602</v>
      </c>
    </row>
    <row r="45" spans="1:16" ht="11.25" customHeight="1" x14ac:dyDescent="0.3">
      <c r="A45" s="31">
        <v>44</v>
      </c>
      <c r="B45" s="31" t="s">
        <v>395</v>
      </c>
      <c r="C45" s="31" t="s">
        <v>33</v>
      </c>
      <c r="D45" s="31" t="s">
        <v>67</v>
      </c>
      <c r="E45" s="31" t="s">
        <v>25</v>
      </c>
      <c r="F45" s="31" t="s">
        <v>25</v>
      </c>
      <c r="G45" s="31" t="s">
        <v>25</v>
      </c>
      <c r="H45" s="31" t="s">
        <v>25</v>
      </c>
      <c r="I45" s="31" t="s">
        <v>36</v>
      </c>
      <c r="J45" s="31" t="s">
        <v>515</v>
      </c>
      <c r="K45" s="31" t="s">
        <v>513</v>
      </c>
      <c r="L45" s="31" t="s">
        <v>68</v>
      </c>
      <c r="M45" s="31">
        <v>2021</v>
      </c>
      <c r="N45" s="31">
        <v>0</v>
      </c>
      <c r="O45" s="31">
        <v>310.5</v>
      </c>
      <c r="P45" s="31"/>
    </row>
    <row r="46" spans="1:16" ht="11.25" customHeight="1" x14ac:dyDescent="0.3">
      <c r="A46" s="31">
        <v>45</v>
      </c>
      <c r="B46" s="31" t="s">
        <v>395</v>
      </c>
      <c r="C46" s="31" t="s">
        <v>22</v>
      </c>
      <c r="D46" s="31" t="s">
        <v>81</v>
      </c>
      <c r="E46" s="31" t="s">
        <v>24</v>
      </c>
      <c r="F46" s="31" t="s">
        <v>27</v>
      </c>
      <c r="G46" s="31" t="s">
        <v>25</v>
      </c>
      <c r="H46" s="31" t="s">
        <v>25</v>
      </c>
      <c r="I46" s="31" t="s">
        <v>25</v>
      </c>
      <c r="J46" s="31" t="s">
        <v>515</v>
      </c>
      <c r="K46" s="31" t="s">
        <v>513</v>
      </c>
      <c r="L46" s="31" t="s">
        <v>68</v>
      </c>
      <c r="M46" s="31">
        <v>2021</v>
      </c>
      <c r="N46" s="31">
        <v>0</v>
      </c>
      <c r="O46" s="31">
        <v>108.67</v>
      </c>
      <c r="P46" s="31"/>
    </row>
    <row r="47" spans="1:16" ht="11.25" customHeight="1" x14ac:dyDescent="0.3">
      <c r="A47" s="31">
        <v>46</v>
      </c>
      <c r="B47" s="31" t="s">
        <v>395</v>
      </c>
      <c r="C47" s="31" t="s">
        <v>39</v>
      </c>
      <c r="D47" s="31" t="s">
        <v>67</v>
      </c>
      <c r="E47" s="31" t="s">
        <v>40</v>
      </c>
      <c r="F47" s="31" t="s">
        <v>85</v>
      </c>
      <c r="G47" s="31" t="s">
        <v>25</v>
      </c>
      <c r="H47" s="31" t="s">
        <v>25</v>
      </c>
      <c r="I47" s="31" t="s">
        <v>35</v>
      </c>
      <c r="J47" s="31" t="s">
        <v>515</v>
      </c>
      <c r="K47" s="31" t="s">
        <v>513</v>
      </c>
      <c r="L47" s="31" t="s">
        <v>68</v>
      </c>
      <c r="M47" s="31">
        <v>2021</v>
      </c>
      <c r="N47" s="31">
        <v>0</v>
      </c>
      <c r="O47" s="31">
        <v>273.24</v>
      </c>
      <c r="P47" s="31"/>
    </row>
    <row r="48" spans="1:16" ht="11.25" customHeight="1" x14ac:dyDescent="0.3">
      <c r="A48" s="31">
        <v>47</v>
      </c>
      <c r="B48" s="31" t="s">
        <v>395</v>
      </c>
      <c r="C48" s="31" t="s">
        <v>39</v>
      </c>
      <c r="D48" s="31" t="s">
        <v>67</v>
      </c>
      <c r="E48" s="31" t="s">
        <v>40</v>
      </c>
      <c r="F48" s="31" t="s">
        <v>25</v>
      </c>
      <c r="G48" s="31" t="s">
        <v>25</v>
      </c>
      <c r="H48" s="31" t="s">
        <v>25</v>
      </c>
      <c r="I48" s="31" t="s">
        <v>514</v>
      </c>
      <c r="J48" s="31" t="s">
        <v>515</v>
      </c>
      <c r="K48" s="31" t="s">
        <v>513</v>
      </c>
      <c r="L48" s="31" t="s">
        <v>68</v>
      </c>
      <c r="M48" s="31">
        <v>2021</v>
      </c>
      <c r="N48" s="31">
        <v>0</v>
      </c>
      <c r="O48" s="31">
        <v>273.24</v>
      </c>
      <c r="P48" s="31"/>
    </row>
    <row r="49" spans="1:16" ht="11.25" customHeight="1" x14ac:dyDescent="0.3">
      <c r="A49" s="31">
        <v>48</v>
      </c>
      <c r="B49" s="31" t="s">
        <v>395</v>
      </c>
      <c r="C49" s="31" t="s">
        <v>31</v>
      </c>
      <c r="D49" s="31" t="s">
        <v>67</v>
      </c>
      <c r="E49" s="31" t="s">
        <v>25</v>
      </c>
      <c r="F49" s="31" t="s">
        <v>25</v>
      </c>
      <c r="G49" s="31" t="s">
        <v>25</v>
      </c>
      <c r="H49" s="31" t="s">
        <v>25</v>
      </c>
      <c r="I49" s="31" t="s">
        <v>35</v>
      </c>
      <c r="J49" s="31" t="s">
        <v>515</v>
      </c>
      <c r="K49" s="31" t="s">
        <v>513</v>
      </c>
      <c r="L49" s="31" t="s">
        <v>68</v>
      </c>
      <c r="M49" s="31">
        <v>2021</v>
      </c>
      <c r="N49" s="31">
        <v>0</v>
      </c>
      <c r="O49" s="31">
        <v>310.5</v>
      </c>
      <c r="P49" s="31"/>
    </row>
    <row r="50" spans="1:16" ht="11.25" customHeight="1" x14ac:dyDescent="0.3">
      <c r="A50" s="31">
        <v>49</v>
      </c>
      <c r="B50" s="31" t="s">
        <v>367</v>
      </c>
      <c r="C50" s="31" t="s">
        <v>39</v>
      </c>
      <c r="D50" s="31" t="s">
        <v>84</v>
      </c>
      <c r="E50" s="31" t="s">
        <v>40</v>
      </c>
      <c r="F50" s="31" t="s">
        <v>85</v>
      </c>
      <c r="G50" s="31" t="s">
        <v>25</v>
      </c>
      <c r="H50" s="31" t="s">
        <v>25</v>
      </c>
      <c r="I50" s="31" t="s">
        <v>25</v>
      </c>
      <c r="J50" s="31" t="s">
        <v>515</v>
      </c>
      <c r="K50" s="31" t="s">
        <v>513</v>
      </c>
      <c r="L50" s="31" t="s">
        <v>68</v>
      </c>
      <c r="M50" s="31">
        <v>2021</v>
      </c>
      <c r="N50" s="31">
        <v>0</v>
      </c>
      <c r="O50" s="31">
        <v>267.20999999999998</v>
      </c>
      <c r="P50" s="31">
        <v>62.242875162526602</v>
      </c>
    </row>
    <row r="51" spans="1:16" ht="11.25" customHeight="1" x14ac:dyDescent="0.3">
      <c r="A51" s="31">
        <v>50</v>
      </c>
      <c r="B51" s="31" t="s">
        <v>367</v>
      </c>
      <c r="C51" s="31" t="s">
        <v>39</v>
      </c>
      <c r="D51" s="31" t="s">
        <v>82</v>
      </c>
      <c r="E51" s="31" t="s">
        <v>40</v>
      </c>
      <c r="F51" s="31" t="s">
        <v>86</v>
      </c>
      <c r="G51" s="31" t="s">
        <v>25</v>
      </c>
      <c r="H51" s="31" t="s">
        <v>25</v>
      </c>
      <c r="I51" s="31" t="s">
        <v>35</v>
      </c>
      <c r="J51" s="31" t="s">
        <v>515</v>
      </c>
      <c r="K51" s="31" t="s">
        <v>513</v>
      </c>
      <c r="L51" s="31" t="s">
        <v>68</v>
      </c>
      <c r="M51" s="31">
        <v>2021</v>
      </c>
      <c r="N51" s="31">
        <v>0</v>
      </c>
      <c r="O51" s="31">
        <v>574.98</v>
      </c>
      <c r="P51" s="31">
        <v>59.413653564229897</v>
      </c>
    </row>
    <row r="52" spans="1:16" ht="11.25" customHeight="1" x14ac:dyDescent="0.3">
      <c r="A52" s="31">
        <v>51</v>
      </c>
      <c r="B52" s="31" t="s">
        <v>367</v>
      </c>
      <c r="C52" s="31" t="s">
        <v>43</v>
      </c>
      <c r="D52" s="31" t="s">
        <v>23</v>
      </c>
      <c r="E52" s="31" t="s">
        <v>44</v>
      </c>
      <c r="F52" s="31" t="s">
        <v>87</v>
      </c>
      <c r="G52" s="31" t="s">
        <v>25</v>
      </c>
      <c r="H52" s="31" t="s">
        <v>25</v>
      </c>
      <c r="I52" s="31" t="s">
        <v>25</v>
      </c>
      <c r="J52" s="31" t="s">
        <v>515</v>
      </c>
      <c r="K52" s="31" t="s">
        <v>513</v>
      </c>
      <c r="L52" s="31" t="s">
        <v>68</v>
      </c>
      <c r="M52" s="31">
        <v>2021</v>
      </c>
      <c r="N52" s="31">
        <v>0</v>
      </c>
      <c r="O52" s="31">
        <v>182.19</v>
      </c>
      <c r="P52" s="31">
        <v>42.438323974449901</v>
      </c>
    </row>
    <row r="53" spans="1:16" ht="11.25" customHeight="1" x14ac:dyDescent="0.3">
      <c r="A53" s="31">
        <v>52</v>
      </c>
      <c r="B53" s="31" t="s">
        <v>395</v>
      </c>
      <c r="C53" s="31" t="s">
        <v>22</v>
      </c>
      <c r="D53" s="31" t="s">
        <v>83</v>
      </c>
      <c r="E53" s="31" t="s">
        <v>24</v>
      </c>
      <c r="F53" s="31" t="s">
        <v>24</v>
      </c>
      <c r="G53" s="31" t="s">
        <v>25</v>
      </c>
      <c r="H53" s="31" t="s">
        <v>25</v>
      </c>
      <c r="I53" s="31" t="s">
        <v>25</v>
      </c>
      <c r="J53" s="31" t="s">
        <v>515</v>
      </c>
      <c r="K53" s="31" t="s">
        <v>513</v>
      </c>
      <c r="L53" s="31" t="s">
        <v>68</v>
      </c>
      <c r="M53" s="31">
        <v>2021</v>
      </c>
      <c r="N53" s="31">
        <v>0</v>
      </c>
      <c r="O53" s="31">
        <v>310.5</v>
      </c>
      <c r="P53" s="31"/>
    </row>
    <row r="54" spans="1:16" ht="11.25" customHeight="1" x14ac:dyDescent="0.3">
      <c r="A54" s="31">
        <v>53</v>
      </c>
      <c r="B54" s="31" t="s">
        <v>395</v>
      </c>
      <c r="C54" s="31" t="s">
        <v>39</v>
      </c>
      <c r="D54" s="31" t="s">
        <v>67</v>
      </c>
      <c r="E54" s="31" t="s">
        <v>40</v>
      </c>
      <c r="F54" s="31" t="s">
        <v>86</v>
      </c>
      <c r="G54" s="31" t="s">
        <v>25</v>
      </c>
      <c r="H54" s="31" t="s">
        <v>25</v>
      </c>
      <c r="I54" s="31" t="s">
        <v>35</v>
      </c>
      <c r="J54" s="31" t="s">
        <v>515</v>
      </c>
      <c r="K54" s="31" t="s">
        <v>513</v>
      </c>
      <c r="L54" s="31" t="s">
        <v>68</v>
      </c>
      <c r="M54" s="31">
        <v>2021</v>
      </c>
      <c r="N54" s="31">
        <v>0</v>
      </c>
      <c r="O54" s="31">
        <v>260.82</v>
      </c>
      <c r="P54" s="31"/>
    </row>
    <row r="55" spans="1:16" ht="11.25" customHeight="1" x14ac:dyDescent="0.3">
      <c r="A55" s="31">
        <v>54</v>
      </c>
      <c r="B55" s="31" t="s">
        <v>395</v>
      </c>
      <c r="C55" s="31" t="s">
        <v>31</v>
      </c>
      <c r="D55" s="31" t="s">
        <v>67</v>
      </c>
      <c r="E55" s="31" t="s">
        <v>25</v>
      </c>
      <c r="F55" s="31" t="s">
        <v>25</v>
      </c>
      <c r="G55" s="31" t="s">
        <v>25</v>
      </c>
      <c r="H55" s="31" t="s">
        <v>25</v>
      </c>
      <c r="I55" s="31" t="s">
        <v>36</v>
      </c>
      <c r="J55" s="31" t="s">
        <v>515</v>
      </c>
      <c r="K55" s="31" t="s">
        <v>513</v>
      </c>
      <c r="L55" s="31" t="s">
        <v>68</v>
      </c>
      <c r="M55" s="31">
        <v>2021</v>
      </c>
      <c r="N55" s="31">
        <v>0</v>
      </c>
      <c r="O55" s="31">
        <v>310.5</v>
      </c>
      <c r="P55" s="31"/>
    </row>
    <row r="56" spans="1:16" ht="11.25" customHeight="1" x14ac:dyDescent="0.3">
      <c r="A56" s="31">
        <v>55</v>
      </c>
      <c r="B56" s="31" t="s">
        <v>395</v>
      </c>
      <c r="C56" s="31" t="s">
        <v>31</v>
      </c>
      <c r="D56" s="31" t="s">
        <v>81</v>
      </c>
      <c r="E56" s="31" t="s">
        <v>25</v>
      </c>
      <c r="F56" s="31" t="s">
        <v>25</v>
      </c>
      <c r="G56" s="31" t="s">
        <v>25</v>
      </c>
      <c r="H56" s="31" t="s">
        <v>25</v>
      </c>
      <c r="I56" s="31" t="s">
        <v>25</v>
      </c>
      <c r="J56" s="31" t="s">
        <v>515</v>
      </c>
      <c r="K56" s="31" t="s">
        <v>513</v>
      </c>
      <c r="L56" s="31" t="s">
        <v>68</v>
      </c>
      <c r="M56" s="31">
        <v>2021</v>
      </c>
      <c r="N56" s="31">
        <v>0</v>
      </c>
      <c r="O56" s="31">
        <v>310.5</v>
      </c>
      <c r="P56" s="31"/>
    </row>
    <row r="57" spans="1:16" ht="11.25" customHeight="1" x14ac:dyDescent="0.3">
      <c r="A57" s="31">
        <v>56</v>
      </c>
      <c r="B57" s="31" t="s">
        <v>395</v>
      </c>
      <c r="C57" s="31" t="s">
        <v>22</v>
      </c>
      <c r="D57" s="31" t="s">
        <v>81</v>
      </c>
      <c r="E57" s="31" t="s">
        <v>24</v>
      </c>
      <c r="F57" s="31" t="s">
        <v>28</v>
      </c>
      <c r="G57" s="31" t="s">
        <v>25</v>
      </c>
      <c r="H57" s="31" t="s">
        <v>25</v>
      </c>
      <c r="I57" s="31" t="s">
        <v>25</v>
      </c>
      <c r="J57" s="31" t="s">
        <v>515</v>
      </c>
      <c r="K57" s="31" t="s">
        <v>513</v>
      </c>
      <c r="L57" s="31" t="s">
        <v>68</v>
      </c>
      <c r="M57" s="31">
        <v>2021</v>
      </c>
      <c r="N57" s="31">
        <v>0</v>
      </c>
      <c r="O57" s="31">
        <v>186.3</v>
      </c>
      <c r="P57" s="31"/>
    </row>
    <row r="58" spans="1:16" ht="11.25" customHeight="1" x14ac:dyDescent="0.3">
      <c r="A58" s="31">
        <v>57</v>
      </c>
      <c r="B58" s="31" t="s">
        <v>395</v>
      </c>
      <c r="C58" s="31" t="s">
        <v>39</v>
      </c>
      <c r="D58" s="31" t="s">
        <v>67</v>
      </c>
      <c r="E58" s="31" t="s">
        <v>40</v>
      </c>
      <c r="F58" s="31" t="s">
        <v>85</v>
      </c>
      <c r="G58" s="31" t="s">
        <v>25</v>
      </c>
      <c r="H58" s="31" t="s">
        <v>25</v>
      </c>
      <c r="I58" s="31" t="s">
        <v>36</v>
      </c>
      <c r="J58" s="31" t="s">
        <v>515</v>
      </c>
      <c r="K58" s="31" t="s">
        <v>513</v>
      </c>
      <c r="L58" s="31" t="s">
        <v>68</v>
      </c>
      <c r="M58" s="31">
        <v>2021</v>
      </c>
      <c r="N58" s="31">
        <v>0</v>
      </c>
      <c r="O58" s="31">
        <v>273.24</v>
      </c>
      <c r="P58" s="31"/>
    </row>
    <row r="59" spans="1:16" ht="11.25" customHeight="1" x14ac:dyDescent="0.3">
      <c r="A59" s="31">
        <v>58</v>
      </c>
      <c r="B59" s="31" t="s">
        <v>395</v>
      </c>
      <c r="C59" s="31" t="s">
        <v>39</v>
      </c>
      <c r="D59" s="31" t="s">
        <v>67</v>
      </c>
      <c r="E59" s="31" t="s">
        <v>40</v>
      </c>
      <c r="F59" s="31" t="s">
        <v>85</v>
      </c>
      <c r="G59" s="31" t="s">
        <v>25</v>
      </c>
      <c r="H59" s="31" t="s">
        <v>25</v>
      </c>
      <c r="I59" s="31" t="s">
        <v>514</v>
      </c>
      <c r="J59" s="31" t="s">
        <v>515</v>
      </c>
      <c r="K59" s="31" t="s">
        <v>513</v>
      </c>
      <c r="L59" s="31" t="s">
        <v>68</v>
      </c>
      <c r="M59" s="31">
        <v>2021</v>
      </c>
      <c r="N59" s="31">
        <v>0</v>
      </c>
      <c r="O59" s="31">
        <v>273.24</v>
      </c>
      <c r="P59" s="31"/>
    </row>
    <row r="60" spans="1:16" ht="11.25" customHeight="1" x14ac:dyDescent="0.3">
      <c r="A60" s="31">
        <v>59</v>
      </c>
      <c r="B60" s="31" t="s">
        <v>395</v>
      </c>
      <c r="C60" s="31" t="s">
        <v>22</v>
      </c>
      <c r="D60" s="31" t="s">
        <v>67</v>
      </c>
      <c r="E60" s="31" t="s">
        <v>24</v>
      </c>
      <c r="F60" s="31" t="s">
        <v>24</v>
      </c>
      <c r="G60" s="31" t="s">
        <v>25</v>
      </c>
      <c r="H60" s="31" t="s">
        <v>25</v>
      </c>
      <c r="I60" s="31" t="s">
        <v>36</v>
      </c>
      <c r="J60" s="31" t="s">
        <v>515</v>
      </c>
      <c r="K60" s="31" t="s">
        <v>513</v>
      </c>
      <c r="L60" s="31" t="s">
        <v>68</v>
      </c>
      <c r="M60" s="31">
        <v>2021</v>
      </c>
      <c r="N60" s="31">
        <v>0</v>
      </c>
      <c r="O60" s="31">
        <v>310.5</v>
      </c>
      <c r="P60" s="31"/>
    </row>
    <row r="61" spans="1:16" ht="11.25" customHeight="1" x14ac:dyDescent="0.3">
      <c r="A61" s="31">
        <v>60</v>
      </c>
      <c r="B61" s="31" t="s">
        <v>395</v>
      </c>
      <c r="C61" s="31" t="s">
        <v>22</v>
      </c>
      <c r="D61" s="31" t="s">
        <v>81</v>
      </c>
      <c r="E61" s="31" t="s">
        <v>24</v>
      </c>
      <c r="F61" s="31" t="s">
        <v>29</v>
      </c>
      <c r="G61" s="31" t="s">
        <v>25</v>
      </c>
      <c r="H61" s="31" t="s">
        <v>25</v>
      </c>
      <c r="I61" s="31" t="s">
        <v>25</v>
      </c>
      <c r="J61" s="31" t="s">
        <v>515</v>
      </c>
      <c r="K61" s="31" t="s">
        <v>513</v>
      </c>
      <c r="L61" s="31" t="s">
        <v>68</v>
      </c>
      <c r="M61" s="31">
        <v>2021</v>
      </c>
      <c r="N61" s="31">
        <v>0</v>
      </c>
      <c r="O61" s="31">
        <v>279.45</v>
      </c>
      <c r="P61" s="31"/>
    </row>
    <row r="62" spans="1:16" ht="11.25" customHeight="1" x14ac:dyDescent="0.3">
      <c r="A62" s="31">
        <v>61</v>
      </c>
      <c r="B62" s="31" t="s">
        <v>395</v>
      </c>
      <c r="C62" s="31" t="s">
        <v>22</v>
      </c>
      <c r="D62" s="31" t="s">
        <v>81</v>
      </c>
      <c r="E62" s="31" t="s">
        <v>24</v>
      </c>
      <c r="F62" s="31" t="s">
        <v>30</v>
      </c>
      <c r="G62" s="31" t="s">
        <v>25</v>
      </c>
      <c r="H62" s="31" t="s">
        <v>25</v>
      </c>
      <c r="I62" s="31" t="s">
        <v>25</v>
      </c>
      <c r="J62" s="31" t="s">
        <v>515</v>
      </c>
      <c r="K62" s="31" t="s">
        <v>513</v>
      </c>
      <c r="L62" s="31" t="s">
        <v>68</v>
      </c>
      <c r="M62" s="31">
        <v>2021</v>
      </c>
      <c r="N62" s="31">
        <v>0</v>
      </c>
      <c r="O62" s="31">
        <v>310.5</v>
      </c>
      <c r="P62" s="31"/>
    </row>
    <row r="63" spans="1:16" ht="11.25" customHeight="1" x14ac:dyDescent="0.3">
      <c r="A63" s="31">
        <v>62</v>
      </c>
      <c r="B63" s="31" t="s">
        <v>395</v>
      </c>
      <c r="C63" s="31" t="s">
        <v>43</v>
      </c>
      <c r="D63" s="31" t="s">
        <v>81</v>
      </c>
      <c r="E63" s="31" t="s">
        <v>44</v>
      </c>
      <c r="F63" s="31" t="s">
        <v>87</v>
      </c>
      <c r="G63" s="31" t="s">
        <v>25</v>
      </c>
      <c r="H63" s="31" t="s">
        <v>25</v>
      </c>
      <c r="I63" s="31" t="s">
        <v>25</v>
      </c>
      <c r="J63" s="31" t="s">
        <v>515</v>
      </c>
      <c r="K63" s="31" t="s">
        <v>513</v>
      </c>
      <c r="L63" s="31" t="s">
        <v>68</v>
      </c>
      <c r="M63" s="31">
        <v>2021</v>
      </c>
      <c r="N63" s="31">
        <v>0</v>
      </c>
      <c r="O63" s="31">
        <v>186.3</v>
      </c>
      <c r="P63" s="31"/>
    </row>
    <row r="64" spans="1:16" ht="11.25" customHeight="1" x14ac:dyDescent="0.3">
      <c r="A64" s="31">
        <v>63</v>
      </c>
      <c r="B64" s="31" t="s">
        <v>395</v>
      </c>
      <c r="C64" s="31" t="s">
        <v>31</v>
      </c>
      <c r="D64" s="31" t="s">
        <v>83</v>
      </c>
      <c r="E64" s="31" t="s">
        <v>25</v>
      </c>
      <c r="F64" s="31" t="s">
        <v>25</v>
      </c>
      <c r="G64" s="31" t="s">
        <v>25</v>
      </c>
      <c r="H64" s="31" t="s">
        <v>25</v>
      </c>
      <c r="I64" s="31" t="s">
        <v>25</v>
      </c>
      <c r="J64" s="31" t="s">
        <v>515</v>
      </c>
      <c r="K64" s="31" t="s">
        <v>513</v>
      </c>
      <c r="L64" s="31" t="s">
        <v>68</v>
      </c>
      <c r="M64" s="31">
        <v>2021</v>
      </c>
      <c r="N64" s="31">
        <v>0</v>
      </c>
      <c r="O64" s="31">
        <v>310.5</v>
      </c>
      <c r="P64" s="31"/>
    </row>
    <row r="65" spans="1:16" ht="11.25" customHeight="1" x14ac:dyDescent="0.3">
      <c r="A65" s="31">
        <v>64</v>
      </c>
      <c r="B65" s="31" t="s">
        <v>395</v>
      </c>
      <c r="C65" s="31" t="s">
        <v>39</v>
      </c>
      <c r="D65" s="31" t="s">
        <v>81</v>
      </c>
      <c r="E65" s="31" t="s">
        <v>40</v>
      </c>
      <c r="F65" s="31" t="s">
        <v>25</v>
      </c>
      <c r="G65" s="31" t="s">
        <v>25</v>
      </c>
      <c r="H65" s="31" t="s">
        <v>25</v>
      </c>
      <c r="I65" s="31" t="s">
        <v>25</v>
      </c>
      <c r="J65" s="31" t="s">
        <v>515</v>
      </c>
      <c r="K65" s="31" t="s">
        <v>513</v>
      </c>
      <c r="L65" s="31" t="s">
        <v>68</v>
      </c>
      <c r="M65" s="31">
        <v>2021</v>
      </c>
      <c r="N65" s="31">
        <v>0</v>
      </c>
      <c r="O65" s="31">
        <v>273.24</v>
      </c>
      <c r="P65" s="31"/>
    </row>
    <row r="66" spans="1:16" ht="11.25" customHeight="1" x14ac:dyDescent="0.3">
      <c r="A66" s="31">
        <v>65</v>
      </c>
      <c r="B66" s="31" t="s">
        <v>395</v>
      </c>
      <c r="C66" s="31" t="s">
        <v>39</v>
      </c>
      <c r="D66" s="31" t="s">
        <v>67</v>
      </c>
      <c r="E66" s="31" t="s">
        <v>40</v>
      </c>
      <c r="F66" s="31" t="s">
        <v>25</v>
      </c>
      <c r="G66" s="31" t="s">
        <v>25</v>
      </c>
      <c r="H66" s="31" t="s">
        <v>25</v>
      </c>
      <c r="I66" s="31" t="s">
        <v>35</v>
      </c>
      <c r="J66" s="31" t="s">
        <v>515</v>
      </c>
      <c r="K66" s="31" t="s">
        <v>513</v>
      </c>
      <c r="L66" s="31" t="s">
        <v>68</v>
      </c>
      <c r="M66" s="31">
        <v>2021</v>
      </c>
      <c r="N66" s="31">
        <v>0</v>
      </c>
      <c r="O66" s="31">
        <v>273.24</v>
      </c>
      <c r="P66" s="31"/>
    </row>
    <row r="67" spans="1:16" ht="11.25" customHeight="1" x14ac:dyDescent="0.3">
      <c r="A67" s="31">
        <v>66</v>
      </c>
      <c r="B67" s="31" t="s">
        <v>395</v>
      </c>
      <c r="C67" s="31" t="s">
        <v>39</v>
      </c>
      <c r="D67" s="31" t="s">
        <v>83</v>
      </c>
      <c r="E67" s="31" t="s">
        <v>40</v>
      </c>
      <c r="F67" s="31" t="s">
        <v>86</v>
      </c>
      <c r="G67" s="31" t="s">
        <v>25</v>
      </c>
      <c r="H67" s="31" t="s">
        <v>25</v>
      </c>
      <c r="I67" s="31" t="s">
        <v>25</v>
      </c>
      <c r="J67" s="31" t="s">
        <v>515</v>
      </c>
      <c r="K67" s="31" t="s">
        <v>513</v>
      </c>
      <c r="L67" s="31" t="s">
        <v>68</v>
      </c>
      <c r="M67" s="31">
        <v>2021</v>
      </c>
      <c r="N67" s="31">
        <v>0</v>
      </c>
      <c r="O67" s="31">
        <v>260.82</v>
      </c>
      <c r="P67" s="31"/>
    </row>
    <row r="68" spans="1:16" ht="11.25" customHeight="1" x14ac:dyDescent="0.3">
      <c r="A68" s="31">
        <v>67</v>
      </c>
      <c r="B68" s="31" t="s">
        <v>367</v>
      </c>
      <c r="C68" s="31" t="s">
        <v>31</v>
      </c>
      <c r="D68" s="31" t="s">
        <v>82</v>
      </c>
      <c r="E68" s="31" t="s">
        <v>25</v>
      </c>
      <c r="F68" s="31" t="s">
        <v>25</v>
      </c>
      <c r="G68" s="31" t="s">
        <v>25</v>
      </c>
      <c r="H68" s="31" t="s">
        <v>25</v>
      </c>
      <c r="I68" s="31" t="s">
        <v>36</v>
      </c>
      <c r="J68" s="31" t="s">
        <v>515</v>
      </c>
      <c r="K68" s="31" t="s">
        <v>513</v>
      </c>
      <c r="L68" s="31" t="s">
        <v>68</v>
      </c>
      <c r="M68" s="31">
        <v>2021</v>
      </c>
      <c r="N68" s="31">
        <v>0</v>
      </c>
      <c r="O68" s="31">
        <v>243.09</v>
      </c>
      <c r="P68" s="31">
        <v>70.730539957416596</v>
      </c>
    </row>
    <row r="69" spans="1:16" ht="11.25" customHeight="1" x14ac:dyDescent="0.3">
      <c r="A69" s="31">
        <v>68</v>
      </c>
      <c r="B69" s="31" t="s">
        <v>395</v>
      </c>
      <c r="C69" s="31" t="s">
        <v>39</v>
      </c>
      <c r="D69" s="31" t="s">
        <v>67</v>
      </c>
      <c r="E69" s="31" t="s">
        <v>40</v>
      </c>
      <c r="F69" s="31" t="s">
        <v>25</v>
      </c>
      <c r="G69" s="31" t="s">
        <v>25</v>
      </c>
      <c r="H69" s="31" t="s">
        <v>25</v>
      </c>
      <c r="I69" s="31" t="s">
        <v>36</v>
      </c>
      <c r="J69" s="31" t="s">
        <v>515</v>
      </c>
      <c r="K69" s="31" t="s">
        <v>513</v>
      </c>
      <c r="L69" s="31" t="s">
        <v>68</v>
      </c>
      <c r="M69" s="31">
        <v>2021</v>
      </c>
      <c r="N69" s="31">
        <v>0</v>
      </c>
      <c r="O69" s="31">
        <v>273.24</v>
      </c>
      <c r="P69" s="31"/>
    </row>
    <row r="70" spans="1:16" ht="11.25" customHeight="1" x14ac:dyDescent="0.3">
      <c r="A70" s="31">
        <v>69</v>
      </c>
      <c r="B70" s="31" t="s">
        <v>395</v>
      </c>
      <c r="C70" s="31" t="s">
        <v>22</v>
      </c>
      <c r="D70" s="31" t="s">
        <v>83</v>
      </c>
      <c r="E70" s="31" t="s">
        <v>24</v>
      </c>
      <c r="F70" s="31" t="s">
        <v>29</v>
      </c>
      <c r="G70" s="31" t="s">
        <v>25</v>
      </c>
      <c r="H70" s="31" t="s">
        <v>25</v>
      </c>
      <c r="I70" s="31" t="s">
        <v>25</v>
      </c>
      <c r="J70" s="31" t="s">
        <v>515</v>
      </c>
      <c r="K70" s="31" t="s">
        <v>513</v>
      </c>
      <c r="L70" s="31" t="s">
        <v>68</v>
      </c>
      <c r="M70" s="31">
        <v>2021</v>
      </c>
      <c r="N70" s="31">
        <v>0</v>
      </c>
      <c r="O70" s="31">
        <v>279.45</v>
      </c>
      <c r="P70" s="31"/>
    </row>
    <row r="71" spans="1:16" ht="11.25" customHeight="1" x14ac:dyDescent="0.3">
      <c r="A71" s="31">
        <v>70</v>
      </c>
      <c r="B71" s="31" t="s">
        <v>395</v>
      </c>
      <c r="C71" s="31" t="s">
        <v>39</v>
      </c>
      <c r="D71" s="31" t="s">
        <v>81</v>
      </c>
      <c r="E71" s="31" t="s">
        <v>40</v>
      </c>
      <c r="F71" s="31" t="s">
        <v>86</v>
      </c>
      <c r="G71" s="31" t="s">
        <v>25</v>
      </c>
      <c r="H71" s="31" t="s">
        <v>25</v>
      </c>
      <c r="I71" s="31" t="s">
        <v>25</v>
      </c>
      <c r="J71" s="31" t="s">
        <v>515</v>
      </c>
      <c r="K71" s="31" t="s">
        <v>513</v>
      </c>
      <c r="L71" s="31" t="s">
        <v>68</v>
      </c>
      <c r="M71" s="31">
        <v>2021</v>
      </c>
      <c r="N71" s="31">
        <v>0</v>
      </c>
      <c r="O71" s="31">
        <v>260.82</v>
      </c>
      <c r="P71" s="31"/>
    </row>
    <row r="72" spans="1:16" ht="11.25" customHeight="1" x14ac:dyDescent="0.3">
      <c r="A72" s="31">
        <v>71</v>
      </c>
      <c r="B72" s="31" t="s">
        <v>395</v>
      </c>
      <c r="C72" s="31" t="s">
        <v>22</v>
      </c>
      <c r="D72" s="31" t="s">
        <v>83</v>
      </c>
      <c r="E72" s="31" t="s">
        <v>24</v>
      </c>
      <c r="F72" s="31" t="s">
        <v>28</v>
      </c>
      <c r="G72" s="31" t="s">
        <v>25</v>
      </c>
      <c r="H72" s="31" t="s">
        <v>25</v>
      </c>
      <c r="I72" s="31" t="s">
        <v>25</v>
      </c>
      <c r="J72" s="31" t="s">
        <v>515</v>
      </c>
      <c r="K72" s="31" t="s">
        <v>513</v>
      </c>
      <c r="L72" s="31" t="s">
        <v>68</v>
      </c>
      <c r="M72" s="31">
        <v>2021</v>
      </c>
      <c r="N72" s="31">
        <v>0</v>
      </c>
      <c r="O72" s="31">
        <v>186.3</v>
      </c>
      <c r="P72" s="31"/>
    </row>
    <row r="73" spans="1:16" ht="11.25" customHeight="1" x14ac:dyDescent="0.3">
      <c r="A73" s="31">
        <v>72</v>
      </c>
      <c r="B73" s="31" t="s">
        <v>395</v>
      </c>
      <c r="C73" s="31" t="s">
        <v>39</v>
      </c>
      <c r="D73" s="31" t="s">
        <v>67</v>
      </c>
      <c r="E73" s="31" t="s">
        <v>40</v>
      </c>
      <c r="F73" s="31" t="s">
        <v>86</v>
      </c>
      <c r="G73" s="31" t="s">
        <v>25</v>
      </c>
      <c r="H73" s="31" t="s">
        <v>25</v>
      </c>
      <c r="I73" s="31" t="s">
        <v>36</v>
      </c>
      <c r="J73" s="31" t="s">
        <v>515</v>
      </c>
      <c r="K73" s="31" t="s">
        <v>513</v>
      </c>
      <c r="L73" s="31" t="s">
        <v>68</v>
      </c>
      <c r="M73" s="31">
        <v>2021</v>
      </c>
      <c r="N73" s="31">
        <v>0</v>
      </c>
      <c r="O73" s="31">
        <v>260.82</v>
      </c>
      <c r="P73" s="31"/>
    </row>
    <row r="74" spans="1:16" ht="11.25" customHeight="1" x14ac:dyDescent="0.3">
      <c r="A74" s="31">
        <v>73</v>
      </c>
      <c r="B74" s="31" t="s">
        <v>395</v>
      </c>
      <c r="C74" s="31" t="s">
        <v>31</v>
      </c>
      <c r="D74" s="31" t="s">
        <v>67</v>
      </c>
      <c r="E74" s="31" t="s">
        <v>25</v>
      </c>
      <c r="F74" s="31" t="s">
        <v>25</v>
      </c>
      <c r="G74" s="31" t="s">
        <v>25</v>
      </c>
      <c r="H74" s="31" t="s">
        <v>25</v>
      </c>
      <c r="I74" s="31" t="s">
        <v>514</v>
      </c>
      <c r="J74" s="31" t="s">
        <v>515</v>
      </c>
      <c r="K74" s="31" t="s">
        <v>513</v>
      </c>
      <c r="L74" s="31" t="s">
        <v>68</v>
      </c>
      <c r="M74" s="31">
        <v>2021</v>
      </c>
      <c r="N74" s="31">
        <v>0</v>
      </c>
      <c r="O74" s="31">
        <v>310.5</v>
      </c>
      <c r="P74" s="31"/>
    </row>
    <row r="75" spans="1:16" ht="11.25" customHeight="1" x14ac:dyDescent="0.3">
      <c r="A75" s="31">
        <v>74</v>
      </c>
      <c r="B75" s="31" t="s">
        <v>367</v>
      </c>
      <c r="C75" s="31" t="s">
        <v>39</v>
      </c>
      <c r="D75" s="31" t="s">
        <v>82</v>
      </c>
      <c r="E75" s="31" t="s">
        <v>40</v>
      </c>
      <c r="F75" s="31" t="s">
        <v>86</v>
      </c>
      <c r="G75" s="31" t="s">
        <v>25</v>
      </c>
      <c r="H75" s="31" t="s">
        <v>25</v>
      </c>
      <c r="I75" s="31" t="s">
        <v>36</v>
      </c>
      <c r="J75" s="31" t="s">
        <v>515</v>
      </c>
      <c r="K75" s="31" t="s">
        <v>513</v>
      </c>
      <c r="L75" s="31" t="s">
        <v>68</v>
      </c>
      <c r="M75" s="31">
        <v>2021</v>
      </c>
      <c r="N75" s="31">
        <v>0</v>
      </c>
      <c r="O75" s="31">
        <v>187.77</v>
      </c>
      <c r="P75" s="31">
        <v>59.413653564229897</v>
      </c>
    </row>
    <row r="76" spans="1:16" ht="11.25" customHeight="1" x14ac:dyDescent="0.3">
      <c r="A76" s="31">
        <v>75</v>
      </c>
      <c r="B76" s="31" t="s">
        <v>367</v>
      </c>
      <c r="C76" s="31" t="s">
        <v>39</v>
      </c>
      <c r="D76" s="31" t="s">
        <v>82</v>
      </c>
      <c r="E76" s="31" t="s">
        <v>40</v>
      </c>
      <c r="F76" s="31" t="s">
        <v>85</v>
      </c>
      <c r="G76" s="31" t="s">
        <v>25</v>
      </c>
      <c r="H76" s="31" t="s">
        <v>25</v>
      </c>
      <c r="I76" s="31" t="s">
        <v>35</v>
      </c>
      <c r="J76" s="31" t="s">
        <v>515</v>
      </c>
      <c r="K76" s="31" t="s">
        <v>513</v>
      </c>
      <c r="L76" s="31" t="s">
        <v>68</v>
      </c>
      <c r="M76" s="31">
        <v>2021</v>
      </c>
      <c r="N76" s="31">
        <v>0</v>
      </c>
      <c r="O76" s="31">
        <v>602.36</v>
      </c>
      <c r="P76" s="31">
        <v>62.242875162526602</v>
      </c>
    </row>
    <row r="77" spans="1:16" ht="11.25" customHeight="1" x14ac:dyDescent="0.3">
      <c r="A77" s="31">
        <v>76</v>
      </c>
      <c r="B77" s="31" t="s">
        <v>395</v>
      </c>
      <c r="C77" s="31" t="s">
        <v>39</v>
      </c>
      <c r="D77" s="31" t="s">
        <v>83</v>
      </c>
      <c r="E77" s="31" t="s">
        <v>40</v>
      </c>
      <c r="F77" s="31" t="s">
        <v>25</v>
      </c>
      <c r="G77" s="31" t="s">
        <v>25</v>
      </c>
      <c r="H77" s="31" t="s">
        <v>25</v>
      </c>
      <c r="I77" s="31" t="s">
        <v>25</v>
      </c>
      <c r="J77" s="31" t="s">
        <v>515</v>
      </c>
      <c r="K77" s="31" t="s">
        <v>513</v>
      </c>
      <c r="L77" s="31" t="s">
        <v>68</v>
      </c>
      <c r="M77" s="31">
        <v>2021</v>
      </c>
      <c r="N77" s="31">
        <v>0</v>
      </c>
      <c r="O77" s="31">
        <v>273.24</v>
      </c>
      <c r="P77" s="31"/>
    </row>
    <row r="78" spans="1:16" ht="11.25" customHeight="1" x14ac:dyDescent="0.3">
      <c r="A78" s="31">
        <v>77</v>
      </c>
      <c r="B78" s="31" t="s">
        <v>367</v>
      </c>
      <c r="C78" s="31" t="s">
        <v>31</v>
      </c>
      <c r="D78" s="31" t="s">
        <v>84</v>
      </c>
      <c r="E78" s="31" t="s">
        <v>25</v>
      </c>
      <c r="F78" s="31" t="s">
        <v>25</v>
      </c>
      <c r="G78" s="31" t="s">
        <v>25</v>
      </c>
      <c r="H78" s="31" t="s">
        <v>25</v>
      </c>
      <c r="I78" s="31" t="s">
        <v>25</v>
      </c>
      <c r="J78" s="31" t="s">
        <v>515</v>
      </c>
      <c r="K78" s="31" t="s">
        <v>513</v>
      </c>
      <c r="L78" s="31" t="s">
        <v>68</v>
      </c>
      <c r="M78" s="31">
        <v>2021</v>
      </c>
      <c r="N78" s="31">
        <v>0</v>
      </c>
      <c r="O78" s="31">
        <v>303.64999999999998</v>
      </c>
      <c r="P78" s="31">
        <v>70.730539957416596</v>
      </c>
    </row>
    <row r="79" spans="1:16" ht="11.25" customHeight="1" x14ac:dyDescent="0.3">
      <c r="A79" s="31">
        <v>78</v>
      </c>
      <c r="B79" s="31" t="s">
        <v>395</v>
      </c>
      <c r="C79" s="31" t="s">
        <v>39</v>
      </c>
      <c r="D79" s="31" t="s">
        <v>81</v>
      </c>
      <c r="E79" s="31" t="s">
        <v>40</v>
      </c>
      <c r="F79" s="31" t="s">
        <v>85</v>
      </c>
      <c r="G79" s="31" t="s">
        <v>25</v>
      </c>
      <c r="H79" s="31" t="s">
        <v>25</v>
      </c>
      <c r="I79" s="31" t="s">
        <v>25</v>
      </c>
      <c r="J79" s="31" t="s">
        <v>515</v>
      </c>
      <c r="K79" s="31" t="s">
        <v>513</v>
      </c>
      <c r="L79" s="31" t="s">
        <v>68</v>
      </c>
      <c r="M79" s="31">
        <v>2021</v>
      </c>
      <c r="N79" s="31">
        <v>0</v>
      </c>
      <c r="O79" s="31">
        <v>273.24</v>
      </c>
      <c r="P79" s="31"/>
    </row>
    <row r="80" spans="1:16" ht="11.25" customHeight="1" x14ac:dyDescent="0.3">
      <c r="A80" s="31">
        <v>79</v>
      </c>
      <c r="B80" s="31" t="s">
        <v>395</v>
      </c>
      <c r="C80" s="31" t="s">
        <v>22</v>
      </c>
      <c r="D80" s="31" t="s">
        <v>83</v>
      </c>
      <c r="E80" s="31" t="s">
        <v>24</v>
      </c>
      <c r="F80" s="31" t="s">
        <v>27</v>
      </c>
      <c r="G80" s="31" t="s">
        <v>25</v>
      </c>
      <c r="H80" s="31" t="s">
        <v>25</v>
      </c>
      <c r="I80" s="31" t="s">
        <v>25</v>
      </c>
      <c r="J80" s="31" t="s">
        <v>515</v>
      </c>
      <c r="K80" s="31" t="s">
        <v>513</v>
      </c>
      <c r="L80" s="31" t="s">
        <v>68</v>
      </c>
      <c r="M80" s="31">
        <v>2021</v>
      </c>
      <c r="N80" s="31">
        <v>0</v>
      </c>
      <c r="O80" s="31">
        <v>108.67</v>
      </c>
      <c r="P80" s="31"/>
    </row>
    <row r="81" spans="1:16" ht="11.25" customHeight="1" x14ac:dyDescent="0.3">
      <c r="A81" s="31">
        <v>80</v>
      </c>
      <c r="B81" s="31" t="s">
        <v>395</v>
      </c>
      <c r="C81" s="31" t="s">
        <v>22</v>
      </c>
      <c r="D81" s="31" t="s">
        <v>83</v>
      </c>
      <c r="E81" s="31" t="s">
        <v>24</v>
      </c>
      <c r="F81" s="31" t="s">
        <v>30</v>
      </c>
      <c r="G81" s="31" t="s">
        <v>25</v>
      </c>
      <c r="H81" s="31" t="s">
        <v>25</v>
      </c>
      <c r="I81" s="31" t="s">
        <v>25</v>
      </c>
      <c r="J81" s="31" t="s">
        <v>515</v>
      </c>
      <c r="K81" s="31" t="s">
        <v>513</v>
      </c>
      <c r="L81" s="31" t="s">
        <v>68</v>
      </c>
      <c r="M81" s="31">
        <v>2021</v>
      </c>
      <c r="N81" s="31">
        <v>0</v>
      </c>
      <c r="O81" s="31">
        <v>310.5</v>
      </c>
      <c r="P81" s="31"/>
    </row>
    <row r="82" spans="1:16" ht="11.25" customHeight="1" x14ac:dyDescent="0.3">
      <c r="A82" s="31">
        <v>81</v>
      </c>
      <c r="B82" s="31" t="s">
        <v>395</v>
      </c>
      <c r="C82" s="31" t="s">
        <v>39</v>
      </c>
      <c r="D82" s="31" t="s">
        <v>83</v>
      </c>
      <c r="E82" s="31" t="s">
        <v>40</v>
      </c>
      <c r="F82" s="31" t="s">
        <v>85</v>
      </c>
      <c r="G82" s="31" t="s">
        <v>25</v>
      </c>
      <c r="H82" s="31" t="s">
        <v>25</v>
      </c>
      <c r="I82" s="31" t="s">
        <v>25</v>
      </c>
      <c r="J82" s="31" t="s">
        <v>515</v>
      </c>
      <c r="K82" s="31" t="s">
        <v>513</v>
      </c>
      <c r="L82" s="31" t="s">
        <v>68</v>
      </c>
      <c r="M82" s="31">
        <v>2021</v>
      </c>
      <c r="N82" s="31">
        <v>0</v>
      </c>
      <c r="O82" s="31">
        <v>273.24</v>
      </c>
      <c r="P82" s="31"/>
    </row>
    <row r="83" spans="1:16" ht="11.25" customHeight="1" x14ac:dyDescent="0.3">
      <c r="A83" s="31">
        <v>82</v>
      </c>
      <c r="B83" s="31" t="s">
        <v>367</v>
      </c>
      <c r="C83" s="31" t="s">
        <v>39</v>
      </c>
      <c r="D83" s="31" t="s">
        <v>82</v>
      </c>
      <c r="E83" s="31" t="s">
        <v>40</v>
      </c>
      <c r="F83" s="31" t="s">
        <v>85</v>
      </c>
      <c r="G83" s="31" t="s">
        <v>25</v>
      </c>
      <c r="H83" s="31" t="s">
        <v>25</v>
      </c>
      <c r="I83" s="31" t="s">
        <v>36</v>
      </c>
      <c r="J83" s="31" t="s">
        <v>515</v>
      </c>
      <c r="K83" s="31" t="s">
        <v>513</v>
      </c>
      <c r="L83" s="31" t="s">
        <v>68</v>
      </c>
      <c r="M83" s="31">
        <v>2021</v>
      </c>
      <c r="N83" s="31">
        <v>0</v>
      </c>
      <c r="O83" s="31">
        <v>196.71</v>
      </c>
      <c r="P83" s="31">
        <v>62.242875162526602</v>
      </c>
    </row>
    <row r="84" spans="1:16" ht="11.25" customHeight="1" x14ac:dyDescent="0.3">
      <c r="A84" s="31">
        <v>83</v>
      </c>
      <c r="B84" s="31" t="s">
        <v>395</v>
      </c>
      <c r="C84" s="31" t="s">
        <v>43</v>
      </c>
      <c r="D84" s="31" t="s">
        <v>81</v>
      </c>
      <c r="E84" s="31" t="s">
        <v>44</v>
      </c>
      <c r="F84" s="31" t="s">
        <v>45</v>
      </c>
      <c r="G84" s="31" t="s">
        <v>25</v>
      </c>
      <c r="H84" s="31" t="s">
        <v>25</v>
      </c>
      <c r="I84" s="31" t="s">
        <v>25</v>
      </c>
      <c r="J84" s="31" t="s">
        <v>515</v>
      </c>
      <c r="K84" s="31" t="s">
        <v>513</v>
      </c>
      <c r="L84" s="31" t="s">
        <v>68</v>
      </c>
      <c r="M84" s="31">
        <v>2021</v>
      </c>
      <c r="N84" s="31">
        <v>0</v>
      </c>
      <c r="O84" s="31">
        <v>170.77</v>
      </c>
      <c r="P84" s="31"/>
    </row>
    <row r="85" spans="1:16" ht="11.25" customHeight="1" x14ac:dyDescent="0.3">
      <c r="A85" s="31">
        <v>84</v>
      </c>
      <c r="B85" s="31" t="s">
        <v>395</v>
      </c>
      <c r="C85" s="31" t="s">
        <v>39</v>
      </c>
      <c r="D85" s="31" t="s">
        <v>67</v>
      </c>
      <c r="E85" s="31" t="s">
        <v>40</v>
      </c>
      <c r="F85" s="31" t="s">
        <v>86</v>
      </c>
      <c r="G85" s="31" t="s">
        <v>25</v>
      </c>
      <c r="H85" s="31" t="s">
        <v>25</v>
      </c>
      <c r="I85" s="31" t="s">
        <v>514</v>
      </c>
      <c r="J85" s="31" t="s">
        <v>515</v>
      </c>
      <c r="K85" s="31" t="s">
        <v>513</v>
      </c>
      <c r="L85" s="31" t="s">
        <v>68</v>
      </c>
      <c r="M85" s="31">
        <v>2021</v>
      </c>
      <c r="N85" s="31">
        <v>0</v>
      </c>
      <c r="O85" s="31">
        <v>260.82</v>
      </c>
      <c r="P85" s="31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1450-1227-4F3B-A361-C680E715F5EB}">
  <dimension ref="B1:AT49"/>
  <sheetViews>
    <sheetView showGridLines="0" tabSelected="1" workbookViewId="0">
      <selection activeCell="B4" sqref="B4"/>
    </sheetView>
  </sheetViews>
  <sheetFormatPr defaultRowHeight="14.4" x14ac:dyDescent="0.3"/>
  <cols>
    <col min="2" max="2" width="12.77734375" bestFit="1" customWidth="1"/>
    <col min="3" max="3" width="25.44140625" bestFit="1" customWidth="1"/>
    <col min="4" max="4" width="16.33203125" bestFit="1" customWidth="1"/>
    <col min="5" max="5" width="28.77734375" bestFit="1" customWidth="1"/>
    <col min="6" max="6" width="11.88671875" bestFit="1" customWidth="1"/>
    <col min="7" max="7" width="12.109375" bestFit="1" customWidth="1"/>
    <col min="8" max="8" width="11.109375" bestFit="1" customWidth="1"/>
    <col min="9" max="9" width="13.109375" bestFit="1" customWidth="1"/>
    <col min="10" max="10" width="12.44140625" bestFit="1" customWidth="1"/>
    <col min="11" max="11" width="9.88671875" bestFit="1" customWidth="1"/>
    <col min="12" max="12" width="18.6640625" bestFit="1" customWidth="1"/>
    <col min="13" max="13" width="13.6640625" bestFit="1" customWidth="1"/>
    <col min="14" max="14" width="12.109375" bestFit="1" customWidth="1"/>
    <col min="15" max="15" width="12.44140625" bestFit="1" customWidth="1"/>
    <col min="16" max="17" width="12.109375" bestFit="1" customWidth="1"/>
    <col min="18" max="18" width="16.44140625" bestFit="1" customWidth="1"/>
    <col min="19" max="19" width="10.44140625" bestFit="1" customWidth="1"/>
    <col min="20" max="20" width="11" bestFit="1" customWidth="1"/>
    <col min="21" max="21" width="10.77734375" bestFit="1" customWidth="1"/>
    <col min="22" max="22" width="12" bestFit="1" customWidth="1"/>
    <col min="23" max="23" width="12.21875" bestFit="1" customWidth="1"/>
    <col min="24" max="24" width="13.44140625" bestFit="1" customWidth="1"/>
    <col min="25" max="25" width="11" bestFit="1" customWidth="1"/>
    <col min="26" max="26" width="13.6640625" bestFit="1" customWidth="1"/>
    <col min="27" max="27" width="12.33203125" bestFit="1" customWidth="1"/>
    <col min="28" max="28" width="15.44140625" bestFit="1" customWidth="1"/>
    <col min="29" max="29" width="24.33203125" bestFit="1" customWidth="1"/>
    <col min="30" max="30" width="13.88671875" bestFit="1" customWidth="1"/>
    <col min="31" max="31" width="10.88671875" bestFit="1" customWidth="1"/>
    <col min="32" max="32" width="17.109375" bestFit="1" customWidth="1"/>
    <col min="33" max="33" width="12.21875" bestFit="1" customWidth="1"/>
    <col min="34" max="34" width="10.44140625" bestFit="1" customWidth="1"/>
    <col min="35" max="35" width="16.109375" bestFit="1" customWidth="1"/>
    <col min="36" max="36" width="14.44140625" bestFit="1" customWidth="1"/>
    <col min="37" max="37" width="9.5546875" bestFit="1" customWidth="1"/>
    <col min="38" max="38" width="12.44140625" bestFit="1" customWidth="1"/>
    <col min="39" max="39" width="11.88671875" bestFit="1" customWidth="1"/>
    <col min="40" max="40" width="13.6640625" bestFit="1" customWidth="1"/>
    <col min="41" max="41" width="24.5546875" bestFit="1" customWidth="1"/>
    <col min="42" max="42" width="17.44140625" bestFit="1" customWidth="1"/>
    <col min="43" max="43" width="13.21875" bestFit="1" customWidth="1"/>
    <col min="44" max="44" width="12.77734375" bestFit="1" customWidth="1"/>
    <col min="45" max="45" width="21.6640625" bestFit="1" customWidth="1"/>
    <col min="46" max="46" width="12.21875" bestFit="1" customWidth="1"/>
  </cols>
  <sheetData>
    <row r="1" spans="2:46" ht="12" customHeight="1" x14ac:dyDescent="0.3">
      <c r="L1" s="119" t="s">
        <v>1044</v>
      </c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</row>
    <row r="2" spans="2:46" ht="12" customHeight="1" x14ac:dyDescent="0.3">
      <c r="L2" s="120" t="s">
        <v>368</v>
      </c>
      <c r="M2" s="120"/>
      <c r="N2" s="120"/>
      <c r="O2" s="120"/>
      <c r="P2" s="120"/>
      <c r="Q2" s="120"/>
      <c r="R2" s="120"/>
      <c r="S2" s="121"/>
      <c r="T2" s="120" t="s">
        <v>377</v>
      </c>
      <c r="U2" s="120"/>
      <c r="V2" s="120"/>
      <c r="W2" s="120"/>
      <c r="X2" s="120"/>
      <c r="Y2" s="120"/>
      <c r="Z2" s="121"/>
      <c r="AA2" s="122" t="s">
        <v>385</v>
      </c>
      <c r="AB2" s="120" t="s">
        <v>25</v>
      </c>
      <c r="AC2" s="120"/>
      <c r="AD2" s="121"/>
      <c r="AE2" s="120" t="s">
        <v>1043</v>
      </c>
      <c r="AF2" s="120"/>
      <c r="AG2" s="120"/>
      <c r="AH2" s="121"/>
      <c r="AI2" s="120" t="s">
        <v>368</v>
      </c>
      <c r="AJ2" s="120"/>
      <c r="AK2" s="120"/>
      <c r="AL2" s="120"/>
      <c r="AM2" s="121"/>
      <c r="AN2" s="122" t="s">
        <v>399</v>
      </c>
      <c r="AO2" s="120" t="s">
        <v>377</v>
      </c>
      <c r="AP2" s="120"/>
      <c r="AQ2" s="120"/>
      <c r="AR2" s="120"/>
      <c r="AS2" s="121"/>
      <c r="AT2" s="123" t="s">
        <v>1043</v>
      </c>
    </row>
    <row r="3" spans="2:46" ht="12" customHeight="1" x14ac:dyDescent="0.3">
      <c r="B3" s="110" t="s">
        <v>58</v>
      </c>
      <c r="C3" s="111" t="s">
        <v>59</v>
      </c>
      <c r="D3" s="111" t="s">
        <v>60</v>
      </c>
      <c r="E3" s="111" t="s">
        <v>61</v>
      </c>
      <c r="F3" s="111" t="s">
        <v>62</v>
      </c>
      <c r="G3" s="111" t="s">
        <v>64</v>
      </c>
      <c r="H3" s="111" t="s">
        <v>65</v>
      </c>
      <c r="I3" s="111" t="s">
        <v>646</v>
      </c>
      <c r="J3" s="111" t="s">
        <v>1005</v>
      </c>
      <c r="K3" s="111" t="s">
        <v>1006</v>
      </c>
      <c r="L3" s="111" t="s">
        <v>1007</v>
      </c>
      <c r="M3" s="111" t="s">
        <v>1008</v>
      </c>
      <c r="N3" s="111" t="s">
        <v>1009</v>
      </c>
      <c r="O3" s="111" t="s">
        <v>1010</v>
      </c>
      <c r="P3" s="111" t="s">
        <v>1011</v>
      </c>
      <c r="Q3" s="111" t="s">
        <v>1012</v>
      </c>
      <c r="R3" s="111" t="s">
        <v>1013</v>
      </c>
      <c r="S3" s="111" t="s">
        <v>1014</v>
      </c>
      <c r="T3" s="111" t="s">
        <v>1015</v>
      </c>
      <c r="U3" s="111" t="s">
        <v>1016</v>
      </c>
      <c r="V3" s="111" t="s">
        <v>1017</v>
      </c>
      <c r="W3" s="111" t="s">
        <v>1018</v>
      </c>
      <c r="X3" s="111" t="s">
        <v>1019</v>
      </c>
      <c r="Y3" s="111" t="s">
        <v>1020</v>
      </c>
      <c r="Z3" s="111" t="s">
        <v>1021</v>
      </c>
      <c r="AA3" s="111" t="s">
        <v>1022</v>
      </c>
      <c r="AB3" s="111" t="s">
        <v>1023</v>
      </c>
      <c r="AC3" s="111" t="s">
        <v>1024</v>
      </c>
      <c r="AD3" s="111" t="s">
        <v>1025</v>
      </c>
      <c r="AE3" s="111" t="s">
        <v>1026</v>
      </c>
      <c r="AF3" s="111" t="s">
        <v>1027</v>
      </c>
      <c r="AG3" s="111" t="s">
        <v>1028</v>
      </c>
      <c r="AH3" s="111" t="s">
        <v>1029</v>
      </c>
      <c r="AI3" s="111" t="s">
        <v>1030</v>
      </c>
      <c r="AJ3" s="111" t="s">
        <v>1031</v>
      </c>
      <c r="AK3" s="111" t="s">
        <v>1032</v>
      </c>
      <c r="AL3" s="111" t="s">
        <v>1033</v>
      </c>
      <c r="AM3" s="111" t="s">
        <v>1034</v>
      </c>
      <c r="AN3" s="111" t="s">
        <v>1035</v>
      </c>
      <c r="AO3" s="111" t="s">
        <v>1036</v>
      </c>
      <c r="AP3" s="111" t="s">
        <v>1037</v>
      </c>
      <c r="AQ3" s="111" t="s">
        <v>1038</v>
      </c>
      <c r="AR3" s="111" t="s">
        <v>1039</v>
      </c>
      <c r="AS3" s="111" t="s">
        <v>1040</v>
      </c>
      <c r="AT3" s="112" t="s">
        <v>1041</v>
      </c>
    </row>
    <row r="4" spans="2:46" ht="12" customHeight="1" x14ac:dyDescent="0.3">
      <c r="B4" s="113" t="s">
        <v>33</v>
      </c>
      <c r="C4" s="114" t="s">
        <v>34</v>
      </c>
      <c r="D4" s="114" t="s">
        <v>25</v>
      </c>
      <c r="E4" s="114" t="s">
        <v>25</v>
      </c>
      <c r="F4" s="114" t="s">
        <v>75</v>
      </c>
      <c r="G4" s="114" t="s">
        <v>35</v>
      </c>
      <c r="H4" s="114" t="s">
        <v>68</v>
      </c>
      <c r="I4" s="114" t="s">
        <v>25</v>
      </c>
      <c r="J4" s="114">
        <v>0</v>
      </c>
      <c r="K4" s="114">
        <v>0</v>
      </c>
      <c r="L4" s="114">
        <v>0</v>
      </c>
      <c r="M4" s="114">
        <v>0</v>
      </c>
      <c r="N4" s="114">
        <v>0</v>
      </c>
      <c r="O4" s="114">
        <v>0</v>
      </c>
      <c r="P4" s="114">
        <v>0</v>
      </c>
      <c r="Q4" s="114">
        <v>0</v>
      </c>
      <c r="R4" s="114">
        <v>0</v>
      </c>
      <c r="S4" s="114">
        <v>0</v>
      </c>
      <c r="T4" s="114">
        <v>0</v>
      </c>
      <c r="U4" s="114">
        <v>0</v>
      </c>
      <c r="V4" s="114">
        <v>0</v>
      </c>
      <c r="W4" s="114">
        <v>0</v>
      </c>
      <c r="X4" s="114">
        <v>0</v>
      </c>
      <c r="Y4" s="114">
        <v>0</v>
      </c>
      <c r="Z4" s="114">
        <v>0</v>
      </c>
      <c r="AA4" s="114">
        <v>0</v>
      </c>
      <c r="AB4" s="114">
        <v>0</v>
      </c>
      <c r="AC4" s="114">
        <v>0</v>
      </c>
      <c r="AD4" s="114">
        <v>0</v>
      </c>
      <c r="AE4" s="114">
        <v>0</v>
      </c>
      <c r="AF4" s="114">
        <v>0</v>
      </c>
      <c r="AG4" s="114">
        <v>0</v>
      </c>
      <c r="AH4" s="114">
        <v>0</v>
      </c>
      <c r="AI4" s="114">
        <v>0</v>
      </c>
      <c r="AJ4" s="114">
        <v>0</v>
      </c>
      <c r="AK4" s="114">
        <v>0</v>
      </c>
      <c r="AL4" s="114">
        <v>0</v>
      </c>
      <c r="AM4" s="114">
        <v>0</v>
      </c>
      <c r="AN4" s="114">
        <v>0</v>
      </c>
      <c r="AO4" s="114">
        <v>0</v>
      </c>
      <c r="AP4" s="114">
        <v>0</v>
      </c>
      <c r="AQ4" s="114">
        <v>0</v>
      </c>
      <c r="AR4" s="114">
        <v>0</v>
      </c>
      <c r="AS4" s="114">
        <v>0</v>
      </c>
      <c r="AT4" s="115">
        <v>0</v>
      </c>
    </row>
    <row r="5" spans="2:46" ht="12" customHeight="1" x14ac:dyDescent="0.3">
      <c r="B5" s="113" t="s">
        <v>33</v>
      </c>
      <c r="C5" s="114" t="s">
        <v>34</v>
      </c>
      <c r="D5" s="114" t="s">
        <v>25</v>
      </c>
      <c r="E5" s="114" t="s">
        <v>25</v>
      </c>
      <c r="F5" s="114" t="s">
        <v>75</v>
      </c>
      <c r="G5" s="114" t="s">
        <v>35</v>
      </c>
      <c r="H5" s="114" t="s">
        <v>71</v>
      </c>
      <c r="I5" s="114" t="s">
        <v>25</v>
      </c>
      <c r="J5" s="114">
        <v>0</v>
      </c>
      <c r="K5" s="114">
        <v>0</v>
      </c>
      <c r="L5" s="114">
        <v>0</v>
      </c>
      <c r="M5" s="114">
        <v>0</v>
      </c>
      <c r="N5" s="114">
        <v>0</v>
      </c>
      <c r="O5" s="114">
        <v>0</v>
      </c>
      <c r="P5" s="114">
        <v>0</v>
      </c>
      <c r="Q5" s="114">
        <v>0</v>
      </c>
      <c r="R5" s="114">
        <v>0</v>
      </c>
      <c r="S5" s="114">
        <v>0</v>
      </c>
      <c r="T5" s="114">
        <v>0</v>
      </c>
      <c r="U5" s="114">
        <v>0</v>
      </c>
      <c r="V5" s="114">
        <v>0</v>
      </c>
      <c r="W5" s="114">
        <v>0</v>
      </c>
      <c r="X5" s="114">
        <v>0</v>
      </c>
      <c r="Y5" s="114">
        <v>0</v>
      </c>
      <c r="Z5" s="114">
        <v>0</v>
      </c>
      <c r="AA5" s="114">
        <v>0</v>
      </c>
      <c r="AB5" s="114">
        <v>0</v>
      </c>
      <c r="AC5" s="114">
        <v>0</v>
      </c>
      <c r="AD5" s="114">
        <v>0</v>
      </c>
      <c r="AE5" s="114">
        <v>0</v>
      </c>
      <c r="AF5" s="114">
        <v>0</v>
      </c>
      <c r="AG5" s="114">
        <v>0</v>
      </c>
      <c r="AH5" s="114">
        <v>0</v>
      </c>
      <c r="AI5" s="114">
        <v>0</v>
      </c>
      <c r="AJ5" s="114">
        <v>0</v>
      </c>
      <c r="AK5" s="114">
        <v>0</v>
      </c>
      <c r="AL5" s="114">
        <v>0</v>
      </c>
      <c r="AM5" s="114">
        <v>0</v>
      </c>
      <c r="AN5" s="114">
        <v>0</v>
      </c>
      <c r="AO5" s="114">
        <v>0</v>
      </c>
      <c r="AP5" s="114">
        <v>0</v>
      </c>
      <c r="AQ5" s="114">
        <v>0</v>
      </c>
      <c r="AR5" s="114">
        <v>0</v>
      </c>
      <c r="AS5" s="114">
        <v>0</v>
      </c>
      <c r="AT5" s="115">
        <v>0</v>
      </c>
    </row>
    <row r="6" spans="2:46" ht="12" customHeight="1" x14ac:dyDescent="0.3">
      <c r="B6" s="113" t="s">
        <v>33</v>
      </c>
      <c r="C6" s="114" t="s">
        <v>34</v>
      </c>
      <c r="D6" s="114" t="s">
        <v>25</v>
      </c>
      <c r="E6" s="114" t="s">
        <v>25</v>
      </c>
      <c r="F6" s="114" t="s">
        <v>75</v>
      </c>
      <c r="G6" s="114" t="s">
        <v>36</v>
      </c>
      <c r="H6" s="114" t="s">
        <v>68</v>
      </c>
      <c r="I6" s="114" t="s">
        <v>25</v>
      </c>
      <c r="J6" s="114">
        <v>0</v>
      </c>
      <c r="K6" s="114">
        <v>0</v>
      </c>
      <c r="L6" s="114">
        <v>0</v>
      </c>
      <c r="M6" s="114">
        <v>0</v>
      </c>
      <c r="N6" s="114">
        <v>0</v>
      </c>
      <c r="O6" s="114">
        <v>0</v>
      </c>
      <c r="P6" s="114">
        <v>0</v>
      </c>
      <c r="Q6" s="114">
        <v>0</v>
      </c>
      <c r="R6" s="114">
        <v>0</v>
      </c>
      <c r="S6" s="114">
        <v>0</v>
      </c>
      <c r="T6" s="114">
        <v>0</v>
      </c>
      <c r="U6" s="114">
        <v>0</v>
      </c>
      <c r="V6" s="114">
        <v>0</v>
      </c>
      <c r="W6" s="114">
        <v>0</v>
      </c>
      <c r="X6" s="114">
        <v>0</v>
      </c>
      <c r="Y6" s="114">
        <v>0</v>
      </c>
      <c r="Z6" s="114">
        <v>0</v>
      </c>
      <c r="AA6" s="114">
        <v>0</v>
      </c>
      <c r="AB6" s="114">
        <v>0</v>
      </c>
      <c r="AC6" s="114">
        <v>0</v>
      </c>
      <c r="AD6" s="114">
        <v>0</v>
      </c>
      <c r="AE6" s="114">
        <v>0</v>
      </c>
      <c r="AF6" s="114">
        <v>0</v>
      </c>
      <c r="AG6" s="114">
        <v>0</v>
      </c>
      <c r="AH6" s="114">
        <v>0</v>
      </c>
      <c r="AI6" s="114">
        <v>0</v>
      </c>
      <c r="AJ6" s="114">
        <v>0</v>
      </c>
      <c r="AK6" s="114">
        <v>0</v>
      </c>
      <c r="AL6" s="114">
        <v>0</v>
      </c>
      <c r="AM6" s="114">
        <v>0</v>
      </c>
      <c r="AN6" s="114">
        <v>0</v>
      </c>
      <c r="AO6" s="114">
        <v>0</v>
      </c>
      <c r="AP6" s="114">
        <v>0</v>
      </c>
      <c r="AQ6" s="114">
        <v>0</v>
      </c>
      <c r="AR6" s="114">
        <v>0</v>
      </c>
      <c r="AS6" s="114">
        <v>0</v>
      </c>
      <c r="AT6" s="115">
        <v>0</v>
      </c>
    </row>
    <row r="7" spans="2:46" ht="12" customHeight="1" x14ac:dyDescent="0.3">
      <c r="B7" s="113" t="s">
        <v>33</v>
      </c>
      <c r="C7" s="114" t="s">
        <v>34</v>
      </c>
      <c r="D7" s="114" t="s">
        <v>25</v>
      </c>
      <c r="E7" s="114" t="s">
        <v>25</v>
      </c>
      <c r="F7" s="114" t="s">
        <v>75</v>
      </c>
      <c r="G7" s="114" t="s">
        <v>36</v>
      </c>
      <c r="H7" s="114" t="s">
        <v>71</v>
      </c>
      <c r="I7" s="114" t="s">
        <v>25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14">
        <v>0</v>
      </c>
      <c r="P7" s="114">
        <v>0</v>
      </c>
      <c r="Q7" s="114">
        <v>0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0</v>
      </c>
      <c r="Y7" s="114">
        <v>0</v>
      </c>
      <c r="Z7" s="114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v>0</v>
      </c>
      <c r="AM7" s="114">
        <v>0</v>
      </c>
      <c r="AN7" s="114">
        <v>0</v>
      </c>
      <c r="AO7" s="114">
        <v>0</v>
      </c>
      <c r="AP7" s="114">
        <v>0</v>
      </c>
      <c r="AQ7" s="114">
        <v>0</v>
      </c>
      <c r="AR7" s="114">
        <v>0</v>
      </c>
      <c r="AS7" s="114">
        <v>0</v>
      </c>
      <c r="AT7" s="115">
        <v>0</v>
      </c>
    </row>
    <row r="8" spans="2:46" ht="12" customHeight="1" x14ac:dyDescent="0.3">
      <c r="B8" s="113" t="s">
        <v>33</v>
      </c>
      <c r="C8" s="114" t="s">
        <v>34</v>
      </c>
      <c r="D8" s="114" t="s">
        <v>25</v>
      </c>
      <c r="E8" s="114" t="s">
        <v>25</v>
      </c>
      <c r="F8" s="114" t="s">
        <v>25</v>
      </c>
      <c r="G8" s="114" t="s">
        <v>35</v>
      </c>
      <c r="H8" s="114" t="s">
        <v>68</v>
      </c>
      <c r="I8" s="114" t="s">
        <v>25</v>
      </c>
      <c r="J8" s="114">
        <v>0</v>
      </c>
      <c r="K8" s="114">
        <v>0</v>
      </c>
      <c r="L8" s="114">
        <v>0</v>
      </c>
      <c r="M8" s="114">
        <v>0</v>
      </c>
      <c r="N8" s="114">
        <v>0</v>
      </c>
      <c r="O8" s="114">
        <v>0</v>
      </c>
      <c r="P8" s="114">
        <v>0</v>
      </c>
      <c r="Q8" s="114">
        <v>0</v>
      </c>
      <c r="R8" s="114">
        <v>0</v>
      </c>
      <c r="S8" s="114">
        <v>0</v>
      </c>
      <c r="T8" s="114">
        <v>0</v>
      </c>
      <c r="U8" s="114">
        <v>0</v>
      </c>
      <c r="V8" s="114">
        <v>0</v>
      </c>
      <c r="W8" s="114">
        <v>0</v>
      </c>
      <c r="X8" s="114">
        <v>0</v>
      </c>
      <c r="Y8" s="114">
        <v>0</v>
      </c>
      <c r="Z8" s="114">
        <v>0</v>
      </c>
      <c r="AA8" s="114">
        <v>0</v>
      </c>
      <c r="AB8" s="114">
        <v>0</v>
      </c>
      <c r="AC8" s="114">
        <v>0</v>
      </c>
      <c r="AD8" s="114">
        <v>0</v>
      </c>
      <c r="AE8" s="114">
        <v>0</v>
      </c>
      <c r="AF8" s="114">
        <v>0</v>
      </c>
      <c r="AG8" s="114">
        <v>0</v>
      </c>
      <c r="AH8" s="114">
        <v>0</v>
      </c>
      <c r="AI8" s="114">
        <v>0</v>
      </c>
      <c r="AJ8" s="114">
        <v>0</v>
      </c>
      <c r="AK8" s="114">
        <v>0</v>
      </c>
      <c r="AL8" s="114">
        <v>0</v>
      </c>
      <c r="AM8" s="114">
        <v>0</v>
      </c>
      <c r="AN8" s="114">
        <v>0</v>
      </c>
      <c r="AO8" s="114">
        <v>0</v>
      </c>
      <c r="AP8" s="114">
        <v>0</v>
      </c>
      <c r="AQ8" s="114">
        <v>0</v>
      </c>
      <c r="AR8" s="114">
        <v>0</v>
      </c>
      <c r="AS8" s="114">
        <v>0</v>
      </c>
      <c r="AT8" s="115">
        <v>0</v>
      </c>
    </row>
    <row r="9" spans="2:46" ht="12" customHeight="1" x14ac:dyDescent="0.3">
      <c r="B9" s="113" t="s">
        <v>33</v>
      </c>
      <c r="C9" s="114" t="s">
        <v>34</v>
      </c>
      <c r="D9" s="114" t="s">
        <v>25</v>
      </c>
      <c r="E9" s="114" t="s">
        <v>25</v>
      </c>
      <c r="F9" s="114" t="s">
        <v>25</v>
      </c>
      <c r="G9" s="114" t="s">
        <v>35</v>
      </c>
      <c r="H9" s="114" t="s">
        <v>71</v>
      </c>
      <c r="I9" s="114" t="s">
        <v>25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4">
        <v>0</v>
      </c>
      <c r="AD9" s="114">
        <v>0</v>
      </c>
      <c r="AE9" s="114">
        <v>0</v>
      </c>
      <c r="AF9" s="114">
        <v>0</v>
      </c>
      <c r="AG9" s="114">
        <v>0</v>
      </c>
      <c r="AH9" s="114">
        <v>0</v>
      </c>
      <c r="AI9" s="114">
        <v>0</v>
      </c>
      <c r="AJ9" s="114">
        <v>0</v>
      </c>
      <c r="AK9" s="114">
        <v>0</v>
      </c>
      <c r="AL9" s="114">
        <v>0</v>
      </c>
      <c r="AM9" s="114">
        <v>0</v>
      </c>
      <c r="AN9" s="114">
        <v>0</v>
      </c>
      <c r="AO9" s="114">
        <v>0</v>
      </c>
      <c r="AP9" s="114">
        <v>0</v>
      </c>
      <c r="AQ9" s="114">
        <v>0</v>
      </c>
      <c r="AR9" s="114">
        <v>0</v>
      </c>
      <c r="AS9" s="114">
        <v>0</v>
      </c>
      <c r="AT9" s="115">
        <v>0</v>
      </c>
    </row>
    <row r="10" spans="2:46" ht="12" customHeight="1" x14ac:dyDescent="0.3">
      <c r="B10" s="113" t="s">
        <v>33</v>
      </c>
      <c r="C10" s="114" t="s">
        <v>34</v>
      </c>
      <c r="D10" s="114" t="s">
        <v>25</v>
      </c>
      <c r="E10" s="114" t="s">
        <v>25</v>
      </c>
      <c r="F10" s="114" t="s">
        <v>25</v>
      </c>
      <c r="G10" s="114" t="s">
        <v>36</v>
      </c>
      <c r="H10" s="114" t="s">
        <v>68</v>
      </c>
      <c r="I10" s="114" t="s">
        <v>25</v>
      </c>
      <c r="J10" s="114">
        <v>0</v>
      </c>
      <c r="K10" s="114">
        <v>0</v>
      </c>
      <c r="L10" s="114">
        <v>0</v>
      </c>
      <c r="M10" s="114">
        <v>0</v>
      </c>
      <c r="N10" s="114">
        <v>0</v>
      </c>
      <c r="O10" s="114">
        <v>0</v>
      </c>
      <c r="P10" s="114">
        <v>0</v>
      </c>
      <c r="Q10" s="114">
        <v>0</v>
      </c>
      <c r="R10" s="114">
        <v>0</v>
      </c>
      <c r="S10" s="114">
        <v>0</v>
      </c>
      <c r="T10" s="114">
        <v>0</v>
      </c>
      <c r="U10" s="114">
        <v>0</v>
      </c>
      <c r="V10" s="114">
        <v>0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4">
        <v>0</v>
      </c>
      <c r="AE10" s="114">
        <v>0</v>
      </c>
      <c r="AF10" s="114">
        <v>0</v>
      </c>
      <c r="AG10" s="114">
        <v>0</v>
      </c>
      <c r="AH10" s="114">
        <v>0</v>
      </c>
      <c r="AI10" s="114">
        <v>0</v>
      </c>
      <c r="AJ10" s="114">
        <v>0</v>
      </c>
      <c r="AK10" s="114">
        <v>0</v>
      </c>
      <c r="AL10" s="114">
        <v>0</v>
      </c>
      <c r="AM10" s="114">
        <v>0</v>
      </c>
      <c r="AN10" s="114">
        <v>0</v>
      </c>
      <c r="AO10" s="114">
        <v>0</v>
      </c>
      <c r="AP10" s="114">
        <v>0</v>
      </c>
      <c r="AQ10" s="114">
        <v>0</v>
      </c>
      <c r="AR10" s="114">
        <v>0</v>
      </c>
      <c r="AS10" s="114">
        <v>0</v>
      </c>
      <c r="AT10" s="115">
        <v>0</v>
      </c>
    </row>
    <row r="11" spans="2:46" ht="12" customHeight="1" x14ac:dyDescent="0.3">
      <c r="B11" s="113" t="s">
        <v>33</v>
      </c>
      <c r="C11" s="114" t="s">
        <v>34</v>
      </c>
      <c r="D11" s="114" t="s">
        <v>25</v>
      </c>
      <c r="E11" s="114" t="s">
        <v>25</v>
      </c>
      <c r="F11" s="114" t="s">
        <v>25</v>
      </c>
      <c r="G11" s="114" t="s">
        <v>36</v>
      </c>
      <c r="H11" s="114" t="s">
        <v>71</v>
      </c>
      <c r="I11" s="114" t="s">
        <v>25</v>
      </c>
      <c r="J11" s="114">
        <v>0</v>
      </c>
      <c r="K11" s="114">
        <v>0</v>
      </c>
      <c r="L11" s="114">
        <v>0</v>
      </c>
      <c r="M11" s="114">
        <v>0</v>
      </c>
      <c r="N11" s="114">
        <v>0</v>
      </c>
      <c r="O11" s="114">
        <v>0</v>
      </c>
      <c r="P11" s="114">
        <v>0</v>
      </c>
      <c r="Q11" s="114">
        <v>0</v>
      </c>
      <c r="R11" s="114">
        <v>0</v>
      </c>
      <c r="S11" s="114">
        <v>0</v>
      </c>
      <c r="T11" s="114">
        <v>0</v>
      </c>
      <c r="U11" s="114">
        <v>0</v>
      </c>
      <c r="V11" s="114">
        <v>0</v>
      </c>
      <c r="W11" s="114">
        <v>0</v>
      </c>
      <c r="X11" s="114">
        <v>0</v>
      </c>
      <c r="Y11" s="114">
        <v>0</v>
      </c>
      <c r="Z11" s="114">
        <v>0</v>
      </c>
      <c r="AA11" s="114">
        <v>0</v>
      </c>
      <c r="AB11" s="114">
        <v>0</v>
      </c>
      <c r="AC11" s="114">
        <v>0</v>
      </c>
      <c r="AD11" s="114">
        <v>0</v>
      </c>
      <c r="AE11" s="114">
        <v>0</v>
      </c>
      <c r="AF11" s="114">
        <v>0</v>
      </c>
      <c r="AG11" s="114">
        <v>0</v>
      </c>
      <c r="AH11" s="114">
        <v>0</v>
      </c>
      <c r="AI11" s="114">
        <v>0</v>
      </c>
      <c r="AJ11" s="114">
        <v>0</v>
      </c>
      <c r="AK11" s="114">
        <v>0</v>
      </c>
      <c r="AL11" s="114">
        <v>0</v>
      </c>
      <c r="AM11" s="114">
        <v>0</v>
      </c>
      <c r="AN11" s="114">
        <v>0</v>
      </c>
      <c r="AO11" s="114">
        <v>0</v>
      </c>
      <c r="AP11" s="114">
        <v>0</v>
      </c>
      <c r="AQ11" s="114">
        <v>0</v>
      </c>
      <c r="AR11" s="114">
        <v>0</v>
      </c>
      <c r="AS11" s="114">
        <v>0</v>
      </c>
      <c r="AT11" s="115">
        <v>0</v>
      </c>
    </row>
    <row r="12" spans="2:46" ht="12" customHeight="1" x14ac:dyDescent="0.3">
      <c r="B12" s="113" t="s">
        <v>33</v>
      </c>
      <c r="C12" s="114" t="s">
        <v>76</v>
      </c>
      <c r="D12" s="114" t="s">
        <v>25</v>
      </c>
      <c r="E12" s="114" t="s">
        <v>25</v>
      </c>
      <c r="F12" s="114" t="s">
        <v>25</v>
      </c>
      <c r="G12" s="114" t="s">
        <v>25</v>
      </c>
      <c r="H12" s="114" t="s">
        <v>71</v>
      </c>
      <c r="I12" s="114" t="s">
        <v>25</v>
      </c>
      <c r="J12" s="114">
        <v>0</v>
      </c>
      <c r="K12" s="114">
        <v>0</v>
      </c>
      <c r="L12" s="114">
        <v>0</v>
      </c>
      <c r="M12" s="114">
        <v>0</v>
      </c>
      <c r="N12" s="114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14">
        <v>0</v>
      </c>
      <c r="U12" s="114">
        <v>0</v>
      </c>
      <c r="V12" s="114">
        <v>0</v>
      </c>
      <c r="W12" s="114">
        <v>0</v>
      </c>
      <c r="X12" s="114">
        <v>0</v>
      </c>
      <c r="Y12" s="114">
        <v>0</v>
      </c>
      <c r="Z12" s="114">
        <v>0</v>
      </c>
      <c r="AA12" s="114">
        <v>0</v>
      </c>
      <c r="AB12" s="114">
        <v>0</v>
      </c>
      <c r="AC12" s="114">
        <v>0</v>
      </c>
      <c r="AD12" s="114">
        <v>0</v>
      </c>
      <c r="AE12" s="114">
        <v>0</v>
      </c>
      <c r="AF12" s="114">
        <v>0</v>
      </c>
      <c r="AG12" s="114">
        <v>0</v>
      </c>
      <c r="AH12" s="114">
        <v>0</v>
      </c>
      <c r="AI12" s="114">
        <v>0</v>
      </c>
      <c r="AJ12" s="114">
        <v>0</v>
      </c>
      <c r="AK12" s="114">
        <v>0</v>
      </c>
      <c r="AL12" s="114">
        <v>0</v>
      </c>
      <c r="AM12" s="114">
        <v>0</v>
      </c>
      <c r="AN12" s="114">
        <v>0</v>
      </c>
      <c r="AO12" s="114">
        <v>0</v>
      </c>
      <c r="AP12" s="114">
        <v>0</v>
      </c>
      <c r="AQ12" s="114">
        <v>0</v>
      </c>
      <c r="AR12" s="114">
        <v>0</v>
      </c>
      <c r="AS12" s="114">
        <v>0</v>
      </c>
      <c r="AT12" s="115">
        <v>0</v>
      </c>
    </row>
    <row r="13" spans="2:46" ht="12" customHeight="1" x14ac:dyDescent="0.3">
      <c r="B13" s="113" t="s">
        <v>33</v>
      </c>
      <c r="C13" s="114" t="s">
        <v>37</v>
      </c>
      <c r="D13" s="114" t="s">
        <v>25</v>
      </c>
      <c r="E13" s="114" t="s">
        <v>25</v>
      </c>
      <c r="F13" s="114" t="s">
        <v>75</v>
      </c>
      <c r="G13" s="114" t="s">
        <v>35</v>
      </c>
      <c r="H13" s="114" t="s">
        <v>68</v>
      </c>
      <c r="I13" s="114" t="s">
        <v>25</v>
      </c>
      <c r="J13" s="114">
        <v>0</v>
      </c>
      <c r="K13" s="114">
        <v>0</v>
      </c>
      <c r="L13" s="114">
        <v>0</v>
      </c>
      <c r="M13" s="114">
        <v>0</v>
      </c>
      <c r="N13" s="114">
        <v>0</v>
      </c>
      <c r="O13" s="114">
        <v>0</v>
      </c>
      <c r="P13" s="114">
        <v>0</v>
      </c>
      <c r="Q13" s="114">
        <v>0</v>
      </c>
      <c r="R13" s="114">
        <v>0</v>
      </c>
      <c r="S13" s="114">
        <v>0</v>
      </c>
      <c r="T13" s="114">
        <v>0</v>
      </c>
      <c r="U13" s="114">
        <v>0</v>
      </c>
      <c r="V13" s="114">
        <v>0</v>
      </c>
      <c r="W13" s="114">
        <v>0</v>
      </c>
      <c r="X13" s="114">
        <v>0</v>
      </c>
      <c r="Y13" s="114">
        <v>0</v>
      </c>
      <c r="Z13" s="114">
        <v>0</v>
      </c>
      <c r="AA13" s="114">
        <v>0</v>
      </c>
      <c r="AB13" s="114">
        <v>0</v>
      </c>
      <c r="AC13" s="114">
        <v>0</v>
      </c>
      <c r="AD13" s="114">
        <v>0</v>
      </c>
      <c r="AE13" s="114">
        <v>0</v>
      </c>
      <c r="AF13" s="114">
        <v>0</v>
      </c>
      <c r="AG13" s="114">
        <v>0</v>
      </c>
      <c r="AH13" s="114">
        <v>0</v>
      </c>
      <c r="AI13" s="114">
        <v>0</v>
      </c>
      <c r="AJ13" s="114">
        <v>0</v>
      </c>
      <c r="AK13" s="114">
        <v>0</v>
      </c>
      <c r="AL13" s="114">
        <v>0</v>
      </c>
      <c r="AM13" s="114">
        <v>0</v>
      </c>
      <c r="AN13" s="114">
        <v>0</v>
      </c>
      <c r="AO13" s="114">
        <v>0</v>
      </c>
      <c r="AP13" s="114">
        <v>0</v>
      </c>
      <c r="AQ13" s="114">
        <v>0</v>
      </c>
      <c r="AR13" s="114">
        <v>0</v>
      </c>
      <c r="AS13" s="114">
        <v>0</v>
      </c>
      <c r="AT13" s="115">
        <v>0</v>
      </c>
    </row>
    <row r="14" spans="2:46" ht="12" customHeight="1" x14ac:dyDescent="0.3">
      <c r="B14" s="113" t="s">
        <v>33</v>
      </c>
      <c r="C14" s="114" t="s">
        <v>37</v>
      </c>
      <c r="D14" s="114" t="s">
        <v>25</v>
      </c>
      <c r="E14" s="114" t="s">
        <v>25</v>
      </c>
      <c r="F14" s="114" t="s">
        <v>75</v>
      </c>
      <c r="G14" s="114" t="s">
        <v>25</v>
      </c>
      <c r="H14" s="114" t="s">
        <v>71</v>
      </c>
      <c r="I14" s="114" t="s">
        <v>25</v>
      </c>
      <c r="J14" s="114">
        <v>0</v>
      </c>
      <c r="K14" s="114">
        <v>0</v>
      </c>
      <c r="L14" s="114">
        <v>0</v>
      </c>
      <c r="M14" s="114">
        <v>0</v>
      </c>
      <c r="N14" s="114">
        <v>0</v>
      </c>
      <c r="O14" s="114">
        <v>0</v>
      </c>
      <c r="P14" s="114">
        <v>0</v>
      </c>
      <c r="Q14" s="114">
        <v>0</v>
      </c>
      <c r="R14" s="114">
        <v>0</v>
      </c>
      <c r="S14" s="114">
        <v>0</v>
      </c>
      <c r="T14" s="114">
        <v>0</v>
      </c>
      <c r="U14" s="114">
        <v>0</v>
      </c>
      <c r="V14" s="114">
        <v>0</v>
      </c>
      <c r="W14" s="114">
        <v>0</v>
      </c>
      <c r="X14" s="114">
        <v>0</v>
      </c>
      <c r="Y14" s="114">
        <v>0</v>
      </c>
      <c r="Z14" s="114">
        <v>0</v>
      </c>
      <c r="AA14" s="114">
        <v>0</v>
      </c>
      <c r="AB14" s="114">
        <v>0</v>
      </c>
      <c r="AC14" s="114">
        <v>0</v>
      </c>
      <c r="AD14" s="114">
        <v>0</v>
      </c>
      <c r="AE14" s="114">
        <v>0</v>
      </c>
      <c r="AF14" s="114">
        <v>0</v>
      </c>
      <c r="AG14" s="114">
        <v>0</v>
      </c>
      <c r="AH14" s="114">
        <v>0</v>
      </c>
      <c r="AI14" s="114">
        <v>0</v>
      </c>
      <c r="AJ14" s="114">
        <v>0</v>
      </c>
      <c r="AK14" s="114">
        <v>0</v>
      </c>
      <c r="AL14" s="114">
        <v>0</v>
      </c>
      <c r="AM14" s="114">
        <v>0</v>
      </c>
      <c r="AN14" s="114">
        <v>0</v>
      </c>
      <c r="AO14" s="114">
        <v>0</v>
      </c>
      <c r="AP14" s="114">
        <v>0</v>
      </c>
      <c r="AQ14" s="114">
        <v>0</v>
      </c>
      <c r="AR14" s="114">
        <v>0</v>
      </c>
      <c r="AS14" s="114">
        <v>0</v>
      </c>
      <c r="AT14" s="115">
        <v>0</v>
      </c>
    </row>
    <row r="15" spans="2:46" ht="12" customHeight="1" x14ac:dyDescent="0.3">
      <c r="B15" s="113" t="s">
        <v>33</v>
      </c>
      <c r="C15" s="114" t="s">
        <v>37</v>
      </c>
      <c r="D15" s="114" t="s">
        <v>25</v>
      </c>
      <c r="E15" s="114" t="s">
        <v>25</v>
      </c>
      <c r="F15" s="114" t="s">
        <v>75</v>
      </c>
      <c r="G15" s="114" t="s">
        <v>36</v>
      </c>
      <c r="H15" s="114" t="s">
        <v>68</v>
      </c>
      <c r="I15" s="114" t="s">
        <v>25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114">
        <v>0</v>
      </c>
      <c r="Q15" s="114">
        <v>0</v>
      </c>
      <c r="R15" s="114">
        <v>0</v>
      </c>
      <c r="S15" s="114">
        <v>0</v>
      </c>
      <c r="T15" s="114">
        <v>0</v>
      </c>
      <c r="U15" s="114">
        <v>0</v>
      </c>
      <c r="V15" s="114">
        <v>0</v>
      </c>
      <c r="W15" s="114">
        <v>0</v>
      </c>
      <c r="X15" s="114">
        <v>0</v>
      </c>
      <c r="Y15" s="114">
        <v>0</v>
      </c>
      <c r="Z15" s="114">
        <v>0</v>
      </c>
      <c r="AA15" s="114">
        <v>0</v>
      </c>
      <c r="AB15" s="114">
        <v>0</v>
      </c>
      <c r="AC15" s="114">
        <v>0</v>
      </c>
      <c r="AD15" s="114">
        <v>0</v>
      </c>
      <c r="AE15" s="114">
        <v>0</v>
      </c>
      <c r="AF15" s="114">
        <v>0</v>
      </c>
      <c r="AG15" s="114">
        <v>0</v>
      </c>
      <c r="AH15" s="114">
        <v>0</v>
      </c>
      <c r="AI15" s="114">
        <v>0</v>
      </c>
      <c r="AJ15" s="114">
        <v>0</v>
      </c>
      <c r="AK15" s="114">
        <v>0</v>
      </c>
      <c r="AL15" s="114">
        <v>0</v>
      </c>
      <c r="AM15" s="114">
        <v>0</v>
      </c>
      <c r="AN15" s="114">
        <v>0</v>
      </c>
      <c r="AO15" s="114">
        <v>0</v>
      </c>
      <c r="AP15" s="114">
        <v>0</v>
      </c>
      <c r="AQ15" s="114">
        <v>0</v>
      </c>
      <c r="AR15" s="114">
        <v>0</v>
      </c>
      <c r="AS15" s="114">
        <v>0</v>
      </c>
      <c r="AT15" s="115">
        <v>0</v>
      </c>
    </row>
    <row r="16" spans="2:46" ht="12" customHeight="1" x14ac:dyDescent="0.3">
      <c r="B16" s="113" t="s">
        <v>33</v>
      </c>
      <c r="C16" s="114" t="s">
        <v>37</v>
      </c>
      <c r="D16" s="114" t="s">
        <v>25</v>
      </c>
      <c r="E16" s="114" t="s">
        <v>25</v>
      </c>
      <c r="F16" s="114" t="s">
        <v>25</v>
      </c>
      <c r="G16" s="114" t="s">
        <v>35</v>
      </c>
      <c r="H16" s="114" t="s">
        <v>68</v>
      </c>
      <c r="I16" s="114" t="s">
        <v>25</v>
      </c>
      <c r="J16" s="114">
        <v>0</v>
      </c>
      <c r="K16" s="114">
        <v>0</v>
      </c>
      <c r="L16" s="114">
        <v>0</v>
      </c>
      <c r="M16" s="114">
        <v>0</v>
      </c>
      <c r="N16" s="114">
        <v>0</v>
      </c>
      <c r="O16" s="114">
        <v>0</v>
      </c>
      <c r="P16" s="114">
        <v>0</v>
      </c>
      <c r="Q16" s="114">
        <v>0</v>
      </c>
      <c r="R16" s="114">
        <v>0</v>
      </c>
      <c r="S16" s="114">
        <v>0</v>
      </c>
      <c r="T16" s="114">
        <v>0</v>
      </c>
      <c r="U16" s="114">
        <v>0</v>
      </c>
      <c r="V16" s="114">
        <v>0</v>
      </c>
      <c r="W16" s="114">
        <v>0</v>
      </c>
      <c r="X16" s="114">
        <v>0</v>
      </c>
      <c r="Y16" s="114">
        <v>0</v>
      </c>
      <c r="Z16" s="114">
        <v>0</v>
      </c>
      <c r="AA16" s="114">
        <v>0</v>
      </c>
      <c r="AB16" s="114">
        <v>0</v>
      </c>
      <c r="AC16" s="114">
        <v>0</v>
      </c>
      <c r="AD16" s="114">
        <v>0</v>
      </c>
      <c r="AE16" s="114">
        <v>0</v>
      </c>
      <c r="AF16" s="114">
        <v>0</v>
      </c>
      <c r="AG16" s="114">
        <v>0</v>
      </c>
      <c r="AH16" s="114">
        <v>0</v>
      </c>
      <c r="AI16" s="114">
        <v>0</v>
      </c>
      <c r="AJ16" s="114">
        <v>0</v>
      </c>
      <c r="AK16" s="114">
        <v>0</v>
      </c>
      <c r="AL16" s="114">
        <v>0</v>
      </c>
      <c r="AM16" s="114">
        <v>0</v>
      </c>
      <c r="AN16" s="114">
        <v>0</v>
      </c>
      <c r="AO16" s="114">
        <v>0</v>
      </c>
      <c r="AP16" s="114">
        <v>0</v>
      </c>
      <c r="AQ16" s="114">
        <v>0</v>
      </c>
      <c r="AR16" s="114">
        <v>0</v>
      </c>
      <c r="AS16" s="114">
        <v>0</v>
      </c>
      <c r="AT16" s="115">
        <v>0</v>
      </c>
    </row>
    <row r="17" spans="2:46" ht="12" customHeight="1" x14ac:dyDescent="0.3">
      <c r="B17" s="113" t="s">
        <v>33</v>
      </c>
      <c r="C17" s="114" t="s">
        <v>37</v>
      </c>
      <c r="D17" s="114" t="s">
        <v>25</v>
      </c>
      <c r="E17" s="114" t="s">
        <v>25</v>
      </c>
      <c r="F17" s="114" t="s">
        <v>25</v>
      </c>
      <c r="G17" s="114" t="s">
        <v>25</v>
      </c>
      <c r="H17" s="114" t="s">
        <v>71</v>
      </c>
      <c r="I17" s="114" t="s">
        <v>25</v>
      </c>
      <c r="J17" s="114">
        <v>0</v>
      </c>
      <c r="K17" s="114">
        <v>0</v>
      </c>
      <c r="L17" s="114">
        <v>0</v>
      </c>
      <c r="M17" s="114">
        <v>0</v>
      </c>
      <c r="N17" s="114">
        <v>0</v>
      </c>
      <c r="O17" s="114">
        <v>0</v>
      </c>
      <c r="P17" s="114">
        <v>0</v>
      </c>
      <c r="Q17" s="114">
        <v>0</v>
      </c>
      <c r="R17" s="114">
        <v>0</v>
      </c>
      <c r="S17" s="114">
        <v>0</v>
      </c>
      <c r="T17" s="114">
        <v>0</v>
      </c>
      <c r="U17" s="114">
        <v>0</v>
      </c>
      <c r="V17" s="114">
        <v>0</v>
      </c>
      <c r="W17" s="114">
        <v>0</v>
      </c>
      <c r="X17" s="114">
        <v>0</v>
      </c>
      <c r="Y17" s="114">
        <v>0</v>
      </c>
      <c r="Z17" s="114">
        <v>0</v>
      </c>
      <c r="AA17" s="114">
        <v>0</v>
      </c>
      <c r="AB17" s="114">
        <v>0</v>
      </c>
      <c r="AC17" s="114">
        <v>0</v>
      </c>
      <c r="AD17" s="114">
        <v>0</v>
      </c>
      <c r="AE17" s="114">
        <v>0</v>
      </c>
      <c r="AF17" s="114">
        <v>0</v>
      </c>
      <c r="AG17" s="114">
        <v>0</v>
      </c>
      <c r="AH17" s="114">
        <v>0</v>
      </c>
      <c r="AI17" s="114">
        <v>0</v>
      </c>
      <c r="AJ17" s="114">
        <v>0</v>
      </c>
      <c r="AK17" s="114">
        <v>0</v>
      </c>
      <c r="AL17" s="114">
        <v>0</v>
      </c>
      <c r="AM17" s="114">
        <v>0</v>
      </c>
      <c r="AN17" s="114">
        <v>0</v>
      </c>
      <c r="AO17" s="114">
        <v>0</v>
      </c>
      <c r="AP17" s="114">
        <v>0</v>
      </c>
      <c r="AQ17" s="114">
        <v>0</v>
      </c>
      <c r="AR17" s="114">
        <v>0</v>
      </c>
      <c r="AS17" s="114">
        <v>0</v>
      </c>
      <c r="AT17" s="115">
        <v>0</v>
      </c>
    </row>
    <row r="18" spans="2:46" ht="12" customHeight="1" x14ac:dyDescent="0.3">
      <c r="B18" s="113" t="s">
        <v>33</v>
      </c>
      <c r="C18" s="114" t="s">
        <v>37</v>
      </c>
      <c r="D18" s="114" t="s">
        <v>25</v>
      </c>
      <c r="E18" s="114" t="s">
        <v>25</v>
      </c>
      <c r="F18" s="114" t="s">
        <v>25</v>
      </c>
      <c r="G18" s="114" t="s">
        <v>36</v>
      </c>
      <c r="H18" s="114" t="s">
        <v>68</v>
      </c>
      <c r="I18" s="114" t="s">
        <v>25</v>
      </c>
      <c r="J18" s="114">
        <v>0</v>
      </c>
      <c r="K18" s="114">
        <v>0</v>
      </c>
      <c r="L18" s="114">
        <v>0</v>
      </c>
      <c r="M18" s="114">
        <v>0</v>
      </c>
      <c r="N18" s="114">
        <v>0</v>
      </c>
      <c r="O18" s="114">
        <v>0</v>
      </c>
      <c r="P18" s="114">
        <v>0</v>
      </c>
      <c r="Q18" s="114">
        <v>0</v>
      </c>
      <c r="R18" s="114">
        <v>0</v>
      </c>
      <c r="S18" s="114">
        <v>0</v>
      </c>
      <c r="T18" s="114">
        <v>0</v>
      </c>
      <c r="U18" s="114">
        <v>0</v>
      </c>
      <c r="V18" s="114">
        <v>0</v>
      </c>
      <c r="W18" s="114">
        <v>0</v>
      </c>
      <c r="X18" s="114">
        <v>0</v>
      </c>
      <c r="Y18" s="114">
        <v>0</v>
      </c>
      <c r="Z18" s="114">
        <v>0</v>
      </c>
      <c r="AA18" s="114">
        <v>0</v>
      </c>
      <c r="AB18" s="114">
        <v>0</v>
      </c>
      <c r="AC18" s="114">
        <v>0</v>
      </c>
      <c r="AD18" s="114">
        <v>0</v>
      </c>
      <c r="AE18" s="114">
        <v>0</v>
      </c>
      <c r="AF18" s="114">
        <v>0</v>
      </c>
      <c r="AG18" s="114">
        <v>0</v>
      </c>
      <c r="AH18" s="114">
        <v>0</v>
      </c>
      <c r="AI18" s="114">
        <v>0</v>
      </c>
      <c r="AJ18" s="114">
        <v>0</v>
      </c>
      <c r="AK18" s="114">
        <v>0</v>
      </c>
      <c r="AL18" s="114">
        <v>0</v>
      </c>
      <c r="AM18" s="114">
        <v>0</v>
      </c>
      <c r="AN18" s="114">
        <v>0</v>
      </c>
      <c r="AO18" s="114">
        <v>0</v>
      </c>
      <c r="AP18" s="114">
        <v>0</v>
      </c>
      <c r="AQ18" s="114">
        <v>0</v>
      </c>
      <c r="AR18" s="114">
        <v>0</v>
      </c>
      <c r="AS18" s="114">
        <v>0</v>
      </c>
      <c r="AT18" s="115">
        <v>0</v>
      </c>
    </row>
    <row r="19" spans="2:46" ht="12" customHeight="1" x14ac:dyDescent="0.3">
      <c r="B19" s="113" t="s">
        <v>77</v>
      </c>
      <c r="C19" s="114" t="s">
        <v>76</v>
      </c>
      <c r="D19" s="114" t="s">
        <v>25</v>
      </c>
      <c r="E19" s="114" t="s">
        <v>25</v>
      </c>
      <c r="F19" s="114" t="s">
        <v>78</v>
      </c>
      <c r="G19" s="114" t="s">
        <v>25</v>
      </c>
      <c r="H19" s="114" t="s">
        <v>71</v>
      </c>
      <c r="I19" s="114" t="s">
        <v>25</v>
      </c>
      <c r="J19" s="114">
        <v>0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0</v>
      </c>
      <c r="Q19" s="114">
        <v>0</v>
      </c>
      <c r="R19" s="114">
        <v>0</v>
      </c>
      <c r="S19" s="114">
        <v>0</v>
      </c>
      <c r="T19" s="114">
        <v>0</v>
      </c>
      <c r="U19" s="114">
        <v>0</v>
      </c>
      <c r="V19" s="114">
        <v>0</v>
      </c>
      <c r="W19" s="114">
        <v>0</v>
      </c>
      <c r="X19" s="114">
        <v>0</v>
      </c>
      <c r="Y19" s="114">
        <v>0</v>
      </c>
      <c r="Z19" s="114">
        <v>0</v>
      </c>
      <c r="AA19" s="114">
        <v>0</v>
      </c>
      <c r="AB19" s="114">
        <v>0</v>
      </c>
      <c r="AC19" s="114">
        <v>0</v>
      </c>
      <c r="AD19" s="114">
        <v>0</v>
      </c>
      <c r="AE19" s="114">
        <v>0</v>
      </c>
      <c r="AF19" s="114">
        <v>0</v>
      </c>
      <c r="AG19" s="114">
        <v>0</v>
      </c>
      <c r="AH19" s="114">
        <v>0</v>
      </c>
      <c r="AI19" s="114">
        <v>0</v>
      </c>
      <c r="AJ19" s="114">
        <v>0</v>
      </c>
      <c r="AK19" s="114">
        <v>0</v>
      </c>
      <c r="AL19" s="114">
        <v>0</v>
      </c>
      <c r="AM19" s="114">
        <v>0</v>
      </c>
      <c r="AN19" s="114">
        <v>0</v>
      </c>
      <c r="AO19" s="114">
        <v>0</v>
      </c>
      <c r="AP19" s="114">
        <v>0</v>
      </c>
      <c r="AQ19" s="114">
        <v>0</v>
      </c>
      <c r="AR19" s="114">
        <v>0</v>
      </c>
      <c r="AS19" s="114">
        <v>0</v>
      </c>
      <c r="AT19" s="115">
        <v>0</v>
      </c>
    </row>
    <row r="20" spans="2:46" ht="12" customHeight="1" x14ac:dyDescent="0.3">
      <c r="B20" s="113" t="s">
        <v>77</v>
      </c>
      <c r="C20" s="114" t="s">
        <v>76</v>
      </c>
      <c r="D20" s="114" t="s">
        <v>25</v>
      </c>
      <c r="E20" s="114" t="s">
        <v>25</v>
      </c>
      <c r="F20" s="114" t="s">
        <v>79</v>
      </c>
      <c r="G20" s="114" t="s">
        <v>25</v>
      </c>
      <c r="H20" s="114" t="s">
        <v>71</v>
      </c>
      <c r="I20" s="114" t="s">
        <v>25</v>
      </c>
      <c r="J20" s="114">
        <v>0</v>
      </c>
      <c r="K20" s="114">
        <v>0</v>
      </c>
      <c r="L20" s="114">
        <v>0</v>
      </c>
      <c r="M20" s="114">
        <v>0</v>
      </c>
      <c r="N20" s="114">
        <v>0</v>
      </c>
      <c r="O20" s="114">
        <v>0</v>
      </c>
      <c r="P20" s="114">
        <v>0</v>
      </c>
      <c r="Q20" s="114">
        <v>0</v>
      </c>
      <c r="R20" s="114">
        <v>0</v>
      </c>
      <c r="S20" s="114">
        <v>0</v>
      </c>
      <c r="T20" s="114">
        <v>0</v>
      </c>
      <c r="U20" s="114">
        <v>0</v>
      </c>
      <c r="V20" s="114">
        <v>0</v>
      </c>
      <c r="W20" s="114">
        <v>0</v>
      </c>
      <c r="X20" s="114">
        <v>0</v>
      </c>
      <c r="Y20" s="114">
        <v>0</v>
      </c>
      <c r="Z20" s="114">
        <v>0</v>
      </c>
      <c r="AA20" s="114">
        <v>0</v>
      </c>
      <c r="AB20" s="114">
        <v>0</v>
      </c>
      <c r="AC20" s="114">
        <v>0</v>
      </c>
      <c r="AD20" s="114">
        <v>0</v>
      </c>
      <c r="AE20" s="114">
        <v>0</v>
      </c>
      <c r="AF20" s="114">
        <v>0</v>
      </c>
      <c r="AG20" s="114">
        <v>0</v>
      </c>
      <c r="AH20" s="114">
        <v>0</v>
      </c>
      <c r="AI20" s="114">
        <v>0</v>
      </c>
      <c r="AJ20" s="114">
        <v>0</v>
      </c>
      <c r="AK20" s="114">
        <v>0</v>
      </c>
      <c r="AL20" s="114">
        <v>0</v>
      </c>
      <c r="AM20" s="114">
        <v>0</v>
      </c>
      <c r="AN20" s="114">
        <v>0</v>
      </c>
      <c r="AO20" s="114">
        <v>0</v>
      </c>
      <c r="AP20" s="114">
        <v>0</v>
      </c>
      <c r="AQ20" s="114">
        <v>0</v>
      </c>
      <c r="AR20" s="114">
        <v>0</v>
      </c>
      <c r="AS20" s="114">
        <v>0</v>
      </c>
      <c r="AT20" s="115">
        <v>0</v>
      </c>
    </row>
    <row r="21" spans="2:46" ht="12" customHeight="1" x14ac:dyDescent="0.3">
      <c r="B21" s="113" t="s">
        <v>22</v>
      </c>
      <c r="C21" s="114" t="s">
        <v>82</v>
      </c>
      <c r="D21" s="114" t="s">
        <v>24</v>
      </c>
      <c r="E21" s="114" t="s">
        <v>24</v>
      </c>
      <c r="F21" s="114" t="s">
        <v>25</v>
      </c>
      <c r="G21" s="114" t="s">
        <v>35</v>
      </c>
      <c r="H21" s="114" t="s">
        <v>68</v>
      </c>
      <c r="I21" s="114" t="s">
        <v>25</v>
      </c>
      <c r="J21" s="114">
        <v>0</v>
      </c>
      <c r="K21" s="114">
        <v>0</v>
      </c>
      <c r="L21" s="114">
        <v>0</v>
      </c>
      <c r="M21" s="114">
        <v>0</v>
      </c>
      <c r="N21" s="114">
        <v>0</v>
      </c>
      <c r="O21" s="114">
        <v>0</v>
      </c>
      <c r="P21" s="114">
        <v>0</v>
      </c>
      <c r="Q21" s="114">
        <v>0</v>
      </c>
      <c r="R21" s="114">
        <v>0</v>
      </c>
      <c r="S21" s="114">
        <v>0</v>
      </c>
      <c r="T21" s="114">
        <v>0</v>
      </c>
      <c r="U21" s="114">
        <v>0</v>
      </c>
      <c r="V21" s="114">
        <v>0</v>
      </c>
      <c r="W21" s="114">
        <v>0</v>
      </c>
      <c r="X21" s="114">
        <v>0</v>
      </c>
      <c r="Y21" s="114">
        <v>0</v>
      </c>
      <c r="Z21" s="114">
        <v>0</v>
      </c>
      <c r="AA21" s="114">
        <v>0</v>
      </c>
      <c r="AB21" s="114">
        <v>0</v>
      </c>
      <c r="AC21" s="114">
        <v>0</v>
      </c>
      <c r="AD21" s="114">
        <v>0</v>
      </c>
      <c r="AE21" s="114">
        <v>0</v>
      </c>
      <c r="AF21" s="114">
        <v>0</v>
      </c>
      <c r="AG21" s="114">
        <v>0</v>
      </c>
      <c r="AH21" s="114">
        <v>0</v>
      </c>
      <c r="AI21" s="114">
        <v>0</v>
      </c>
      <c r="AJ21" s="114">
        <v>0</v>
      </c>
      <c r="AK21" s="114">
        <v>0</v>
      </c>
      <c r="AL21" s="114">
        <v>0</v>
      </c>
      <c r="AM21" s="114">
        <v>0</v>
      </c>
      <c r="AN21" s="114">
        <v>0</v>
      </c>
      <c r="AO21" s="114">
        <v>0</v>
      </c>
      <c r="AP21" s="114">
        <v>0</v>
      </c>
      <c r="AQ21" s="114">
        <v>0</v>
      </c>
      <c r="AR21" s="114">
        <v>0</v>
      </c>
      <c r="AS21" s="114">
        <v>0</v>
      </c>
      <c r="AT21" s="115">
        <v>0</v>
      </c>
    </row>
    <row r="22" spans="2:46" ht="12" customHeight="1" x14ac:dyDescent="0.3">
      <c r="B22" s="113" t="s">
        <v>22</v>
      </c>
      <c r="C22" s="114" t="s">
        <v>82</v>
      </c>
      <c r="D22" s="114" t="s">
        <v>24</v>
      </c>
      <c r="E22" s="114" t="s">
        <v>24</v>
      </c>
      <c r="F22" s="114" t="s">
        <v>25</v>
      </c>
      <c r="G22" s="114" t="s">
        <v>514</v>
      </c>
      <c r="H22" s="114" t="s">
        <v>68</v>
      </c>
      <c r="I22" s="114" t="s">
        <v>25</v>
      </c>
      <c r="J22" s="114">
        <v>0</v>
      </c>
      <c r="K22" s="114">
        <v>0</v>
      </c>
      <c r="L22" s="114">
        <v>0</v>
      </c>
      <c r="M22" s="114">
        <v>0</v>
      </c>
      <c r="N22" s="114">
        <v>0</v>
      </c>
      <c r="O22" s="114">
        <v>0</v>
      </c>
      <c r="P22" s="114">
        <v>0</v>
      </c>
      <c r="Q22" s="114">
        <v>0</v>
      </c>
      <c r="R22" s="114">
        <v>0</v>
      </c>
      <c r="S22" s="114">
        <v>0</v>
      </c>
      <c r="T22" s="114">
        <v>0</v>
      </c>
      <c r="U22" s="114">
        <v>0</v>
      </c>
      <c r="V22" s="114">
        <v>0</v>
      </c>
      <c r="W22" s="114">
        <v>0</v>
      </c>
      <c r="X22" s="114">
        <v>0</v>
      </c>
      <c r="Y22" s="114">
        <v>0</v>
      </c>
      <c r="Z22" s="114">
        <v>0</v>
      </c>
      <c r="AA22" s="114">
        <v>0</v>
      </c>
      <c r="AB22" s="114">
        <v>0</v>
      </c>
      <c r="AC22" s="114">
        <v>0</v>
      </c>
      <c r="AD22" s="114">
        <v>0</v>
      </c>
      <c r="AE22" s="114">
        <v>0</v>
      </c>
      <c r="AF22" s="114">
        <v>0</v>
      </c>
      <c r="AG22" s="114">
        <v>0</v>
      </c>
      <c r="AH22" s="114">
        <v>0</v>
      </c>
      <c r="AI22" s="114">
        <v>0</v>
      </c>
      <c r="AJ22" s="114">
        <v>0</v>
      </c>
      <c r="AK22" s="114">
        <v>0</v>
      </c>
      <c r="AL22" s="114">
        <v>0</v>
      </c>
      <c r="AM22" s="114">
        <v>0</v>
      </c>
      <c r="AN22" s="114">
        <v>0</v>
      </c>
      <c r="AO22" s="114">
        <v>0</v>
      </c>
      <c r="AP22" s="114">
        <v>0</v>
      </c>
      <c r="AQ22" s="114">
        <v>0</v>
      </c>
      <c r="AR22" s="114">
        <v>0</v>
      </c>
      <c r="AS22" s="114">
        <v>0</v>
      </c>
      <c r="AT22" s="115">
        <v>0</v>
      </c>
    </row>
    <row r="23" spans="2:46" ht="12" customHeight="1" x14ac:dyDescent="0.3">
      <c r="B23" s="113" t="s">
        <v>22</v>
      </c>
      <c r="C23" s="114" t="s">
        <v>82</v>
      </c>
      <c r="D23" s="114" t="s">
        <v>24</v>
      </c>
      <c r="E23" s="114" t="s">
        <v>24</v>
      </c>
      <c r="F23" s="114" t="s">
        <v>25</v>
      </c>
      <c r="G23" s="114" t="s">
        <v>36</v>
      </c>
      <c r="H23" s="114" t="s">
        <v>68</v>
      </c>
      <c r="I23" s="114" t="s">
        <v>25</v>
      </c>
      <c r="J23" s="114">
        <v>0</v>
      </c>
      <c r="K23" s="114">
        <v>0</v>
      </c>
      <c r="L23" s="114">
        <v>0</v>
      </c>
      <c r="M23" s="114">
        <v>0</v>
      </c>
      <c r="N23" s="114">
        <v>0</v>
      </c>
      <c r="O23" s="114">
        <v>0</v>
      </c>
      <c r="P23" s="114">
        <v>0</v>
      </c>
      <c r="Q23" s="114">
        <v>0</v>
      </c>
      <c r="R23" s="114">
        <v>0</v>
      </c>
      <c r="S23" s="114">
        <v>0</v>
      </c>
      <c r="T23" s="114">
        <v>0</v>
      </c>
      <c r="U23" s="114">
        <v>0</v>
      </c>
      <c r="V23" s="114">
        <v>0</v>
      </c>
      <c r="W23" s="114">
        <v>0</v>
      </c>
      <c r="X23" s="114">
        <v>0</v>
      </c>
      <c r="Y23" s="114">
        <v>0</v>
      </c>
      <c r="Z23" s="114">
        <v>0</v>
      </c>
      <c r="AA23" s="114">
        <v>0</v>
      </c>
      <c r="AB23" s="114">
        <v>0</v>
      </c>
      <c r="AC23" s="114">
        <v>0</v>
      </c>
      <c r="AD23" s="114">
        <v>0</v>
      </c>
      <c r="AE23" s="114">
        <v>0</v>
      </c>
      <c r="AF23" s="114">
        <v>0</v>
      </c>
      <c r="AG23" s="114">
        <v>0</v>
      </c>
      <c r="AH23" s="114">
        <v>0</v>
      </c>
      <c r="AI23" s="114">
        <v>0</v>
      </c>
      <c r="AJ23" s="114">
        <v>0</v>
      </c>
      <c r="AK23" s="114">
        <v>0</v>
      </c>
      <c r="AL23" s="114">
        <v>0</v>
      </c>
      <c r="AM23" s="114">
        <v>0</v>
      </c>
      <c r="AN23" s="114">
        <v>0</v>
      </c>
      <c r="AO23" s="114">
        <v>0</v>
      </c>
      <c r="AP23" s="114">
        <v>0</v>
      </c>
      <c r="AQ23" s="114">
        <v>0</v>
      </c>
      <c r="AR23" s="114">
        <v>0</v>
      </c>
      <c r="AS23" s="114">
        <v>0</v>
      </c>
      <c r="AT23" s="115">
        <v>0</v>
      </c>
    </row>
    <row r="24" spans="2:46" ht="12" customHeight="1" x14ac:dyDescent="0.3">
      <c r="B24" s="113" t="s">
        <v>22</v>
      </c>
      <c r="C24" s="114" t="s">
        <v>23</v>
      </c>
      <c r="D24" s="114" t="s">
        <v>24</v>
      </c>
      <c r="E24" s="114" t="s">
        <v>1042</v>
      </c>
      <c r="F24" s="114" t="s">
        <v>25</v>
      </c>
      <c r="G24" s="114" t="s">
        <v>25</v>
      </c>
      <c r="H24" s="114" t="s">
        <v>68</v>
      </c>
      <c r="I24" s="114" t="s">
        <v>25</v>
      </c>
      <c r="J24" s="114">
        <v>0</v>
      </c>
      <c r="K24" s="114">
        <v>0</v>
      </c>
      <c r="L24" s="114">
        <v>0</v>
      </c>
      <c r="M24" s="114">
        <v>0</v>
      </c>
      <c r="N24" s="114">
        <v>0</v>
      </c>
      <c r="O24" s="114">
        <v>0</v>
      </c>
      <c r="P24" s="114">
        <v>0</v>
      </c>
      <c r="Q24" s="114">
        <v>0</v>
      </c>
      <c r="R24" s="114">
        <v>0</v>
      </c>
      <c r="S24" s="114">
        <v>0</v>
      </c>
      <c r="T24" s="114">
        <v>0</v>
      </c>
      <c r="U24" s="114">
        <v>0</v>
      </c>
      <c r="V24" s="114">
        <v>0</v>
      </c>
      <c r="W24" s="114">
        <v>0</v>
      </c>
      <c r="X24" s="114">
        <v>0</v>
      </c>
      <c r="Y24" s="114">
        <v>0</v>
      </c>
      <c r="Z24" s="114">
        <v>0</v>
      </c>
      <c r="AA24" s="114">
        <v>0</v>
      </c>
      <c r="AB24" s="114">
        <v>0</v>
      </c>
      <c r="AC24" s="114">
        <v>0</v>
      </c>
      <c r="AD24" s="114">
        <v>0</v>
      </c>
      <c r="AE24" s="114">
        <v>0</v>
      </c>
      <c r="AF24" s="114">
        <v>0</v>
      </c>
      <c r="AG24" s="114">
        <v>0</v>
      </c>
      <c r="AH24" s="114">
        <v>0</v>
      </c>
      <c r="AI24" s="114">
        <v>0</v>
      </c>
      <c r="AJ24" s="114">
        <v>0</v>
      </c>
      <c r="AK24" s="114">
        <v>0</v>
      </c>
      <c r="AL24" s="114">
        <v>0</v>
      </c>
      <c r="AM24" s="114">
        <v>0</v>
      </c>
      <c r="AN24" s="114">
        <v>0</v>
      </c>
      <c r="AO24" s="114">
        <v>0</v>
      </c>
      <c r="AP24" s="114">
        <v>0</v>
      </c>
      <c r="AQ24" s="114">
        <v>0</v>
      </c>
      <c r="AR24" s="114">
        <v>0</v>
      </c>
      <c r="AS24" s="114">
        <v>0</v>
      </c>
      <c r="AT24" s="115">
        <v>0</v>
      </c>
    </row>
    <row r="25" spans="2:46" ht="12" customHeight="1" x14ac:dyDescent="0.3">
      <c r="B25" s="113" t="s">
        <v>22</v>
      </c>
      <c r="C25" s="114" t="s">
        <v>23</v>
      </c>
      <c r="D25" s="114" t="s">
        <v>24</v>
      </c>
      <c r="E25" s="114" t="s">
        <v>24</v>
      </c>
      <c r="F25" s="114" t="s">
        <v>25</v>
      </c>
      <c r="G25" s="114" t="s">
        <v>25</v>
      </c>
      <c r="H25" s="114" t="s">
        <v>68</v>
      </c>
      <c r="I25" s="114" t="s">
        <v>25</v>
      </c>
      <c r="J25" s="114">
        <v>0</v>
      </c>
      <c r="K25" s="114">
        <v>0</v>
      </c>
      <c r="L25" s="114">
        <v>0</v>
      </c>
      <c r="M25" s="114">
        <v>0</v>
      </c>
      <c r="N25" s="114">
        <v>0</v>
      </c>
      <c r="O25" s="114">
        <v>0</v>
      </c>
      <c r="P25" s="114">
        <v>0</v>
      </c>
      <c r="Q25" s="114">
        <v>0</v>
      </c>
      <c r="R25" s="114">
        <v>0</v>
      </c>
      <c r="S25" s="114">
        <v>0</v>
      </c>
      <c r="T25" s="114">
        <v>0</v>
      </c>
      <c r="U25" s="114">
        <v>0</v>
      </c>
      <c r="V25" s="114">
        <v>0</v>
      </c>
      <c r="W25" s="114">
        <v>0</v>
      </c>
      <c r="X25" s="114">
        <v>0</v>
      </c>
      <c r="Y25" s="114">
        <v>0</v>
      </c>
      <c r="Z25" s="114">
        <v>0</v>
      </c>
      <c r="AA25" s="114">
        <v>0</v>
      </c>
      <c r="AB25" s="114">
        <v>0</v>
      </c>
      <c r="AC25" s="114">
        <v>0</v>
      </c>
      <c r="AD25" s="114">
        <v>0</v>
      </c>
      <c r="AE25" s="114">
        <v>0</v>
      </c>
      <c r="AF25" s="114">
        <v>0</v>
      </c>
      <c r="AG25" s="114">
        <v>0</v>
      </c>
      <c r="AH25" s="114">
        <v>0</v>
      </c>
      <c r="AI25" s="114">
        <v>0</v>
      </c>
      <c r="AJ25" s="114">
        <v>0</v>
      </c>
      <c r="AK25" s="114">
        <v>0</v>
      </c>
      <c r="AL25" s="114">
        <v>0</v>
      </c>
      <c r="AM25" s="114">
        <v>0</v>
      </c>
      <c r="AN25" s="114">
        <v>0</v>
      </c>
      <c r="AO25" s="114">
        <v>0</v>
      </c>
      <c r="AP25" s="114">
        <v>0</v>
      </c>
      <c r="AQ25" s="114">
        <v>0</v>
      </c>
      <c r="AR25" s="114">
        <v>0</v>
      </c>
      <c r="AS25" s="114">
        <v>0</v>
      </c>
      <c r="AT25" s="115">
        <v>0</v>
      </c>
    </row>
    <row r="26" spans="2:46" ht="12" customHeight="1" x14ac:dyDescent="0.3">
      <c r="B26" s="113" t="s">
        <v>22</v>
      </c>
      <c r="C26" s="114" t="s">
        <v>84</v>
      </c>
      <c r="D26" s="114" t="s">
        <v>24</v>
      </c>
      <c r="E26" s="114" t="s">
        <v>1042</v>
      </c>
      <c r="F26" s="114" t="s">
        <v>25</v>
      </c>
      <c r="G26" s="114" t="s">
        <v>25</v>
      </c>
      <c r="H26" s="114" t="s">
        <v>68</v>
      </c>
      <c r="I26" s="114" t="s">
        <v>25</v>
      </c>
      <c r="J26" s="114">
        <v>0</v>
      </c>
      <c r="K26" s="114">
        <v>0</v>
      </c>
      <c r="L26" s="114">
        <v>0</v>
      </c>
      <c r="M26" s="114">
        <v>0</v>
      </c>
      <c r="N26" s="114">
        <v>0</v>
      </c>
      <c r="O26" s="114">
        <v>0</v>
      </c>
      <c r="P26" s="114">
        <v>0</v>
      </c>
      <c r="Q26" s="114">
        <v>0</v>
      </c>
      <c r="R26" s="114">
        <v>0</v>
      </c>
      <c r="S26" s="114">
        <v>0</v>
      </c>
      <c r="T26" s="114">
        <v>0</v>
      </c>
      <c r="U26" s="114">
        <v>0</v>
      </c>
      <c r="V26" s="114">
        <v>0</v>
      </c>
      <c r="W26" s="114">
        <v>0</v>
      </c>
      <c r="X26" s="114">
        <v>0</v>
      </c>
      <c r="Y26" s="114">
        <v>0</v>
      </c>
      <c r="Z26" s="114">
        <v>0</v>
      </c>
      <c r="AA26" s="114">
        <v>0</v>
      </c>
      <c r="AB26" s="114">
        <v>0</v>
      </c>
      <c r="AC26" s="114">
        <v>0</v>
      </c>
      <c r="AD26" s="114">
        <v>0</v>
      </c>
      <c r="AE26" s="114">
        <v>0</v>
      </c>
      <c r="AF26" s="114">
        <v>0</v>
      </c>
      <c r="AG26" s="114">
        <v>0</v>
      </c>
      <c r="AH26" s="114">
        <v>0</v>
      </c>
      <c r="AI26" s="114">
        <v>0</v>
      </c>
      <c r="AJ26" s="114">
        <v>0</v>
      </c>
      <c r="AK26" s="114">
        <v>0</v>
      </c>
      <c r="AL26" s="114">
        <v>0</v>
      </c>
      <c r="AM26" s="114">
        <v>0</v>
      </c>
      <c r="AN26" s="114">
        <v>0</v>
      </c>
      <c r="AO26" s="114">
        <v>0</v>
      </c>
      <c r="AP26" s="114">
        <v>0</v>
      </c>
      <c r="AQ26" s="114">
        <v>0</v>
      </c>
      <c r="AR26" s="114">
        <v>0</v>
      </c>
      <c r="AS26" s="114">
        <v>0</v>
      </c>
      <c r="AT26" s="115">
        <v>0</v>
      </c>
    </row>
    <row r="27" spans="2:46" ht="12" customHeight="1" x14ac:dyDescent="0.3">
      <c r="B27" s="113" t="s">
        <v>22</v>
      </c>
      <c r="C27" s="114" t="s">
        <v>84</v>
      </c>
      <c r="D27" s="114" t="s">
        <v>24</v>
      </c>
      <c r="E27" s="114" t="s">
        <v>24</v>
      </c>
      <c r="F27" s="114" t="s">
        <v>25</v>
      </c>
      <c r="G27" s="114" t="s">
        <v>25</v>
      </c>
      <c r="H27" s="114" t="s">
        <v>68</v>
      </c>
      <c r="I27" s="114" t="s">
        <v>25</v>
      </c>
      <c r="J27" s="114">
        <v>0</v>
      </c>
      <c r="K27" s="114">
        <v>0</v>
      </c>
      <c r="L27" s="114">
        <v>0</v>
      </c>
      <c r="M27" s="114">
        <v>0</v>
      </c>
      <c r="N27" s="114">
        <v>0</v>
      </c>
      <c r="O27" s="114">
        <v>0</v>
      </c>
      <c r="P27" s="114">
        <v>0</v>
      </c>
      <c r="Q27" s="114">
        <v>0</v>
      </c>
      <c r="R27" s="114">
        <v>0</v>
      </c>
      <c r="S27" s="114">
        <v>0</v>
      </c>
      <c r="T27" s="114">
        <v>0</v>
      </c>
      <c r="U27" s="114">
        <v>0</v>
      </c>
      <c r="V27" s="114">
        <v>0</v>
      </c>
      <c r="W27" s="114">
        <v>0</v>
      </c>
      <c r="X27" s="114">
        <v>0</v>
      </c>
      <c r="Y27" s="114">
        <v>0</v>
      </c>
      <c r="Z27" s="114">
        <v>0</v>
      </c>
      <c r="AA27" s="114">
        <v>0</v>
      </c>
      <c r="AB27" s="114">
        <v>0</v>
      </c>
      <c r="AC27" s="114">
        <v>0</v>
      </c>
      <c r="AD27" s="114">
        <v>0</v>
      </c>
      <c r="AE27" s="114">
        <v>0</v>
      </c>
      <c r="AF27" s="114">
        <v>0</v>
      </c>
      <c r="AG27" s="114">
        <v>0</v>
      </c>
      <c r="AH27" s="114">
        <v>0</v>
      </c>
      <c r="AI27" s="114">
        <v>0</v>
      </c>
      <c r="AJ27" s="114">
        <v>0</v>
      </c>
      <c r="AK27" s="114">
        <v>0</v>
      </c>
      <c r="AL27" s="114">
        <v>0</v>
      </c>
      <c r="AM27" s="114">
        <v>0</v>
      </c>
      <c r="AN27" s="114">
        <v>0</v>
      </c>
      <c r="AO27" s="114">
        <v>0</v>
      </c>
      <c r="AP27" s="114">
        <v>0</v>
      </c>
      <c r="AQ27" s="114">
        <v>0</v>
      </c>
      <c r="AR27" s="114">
        <v>0</v>
      </c>
      <c r="AS27" s="114">
        <v>0</v>
      </c>
      <c r="AT27" s="115">
        <v>0</v>
      </c>
    </row>
    <row r="28" spans="2:46" ht="12" customHeight="1" x14ac:dyDescent="0.3">
      <c r="B28" s="113" t="s">
        <v>39</v>
      </c>
      <c r="C28" s="114" t="s">
        <v>82</v>
      </c>
      <c r="D28" s="114" t="s">
        <v>40</v>
      </c>
      <c r="E28" s="114" t="s">
        <v>85</v>
      </c>
      <c r="F28" s="114" t="s">
        <v>25</v>
      </c>
      <c r="G28" s="114" t="s">
        <v>35</v>
      </c>
      <c r="H28" s="114" t="s">
        <v>68</v>
      </c>
      <c r="I28" s="114" t="s">
        <v>25</v>
      </c>
      <c r="J28" s="114">
        <v>0</v>
      </c>
      <c r="K28" s="114">
        <v>0</v>
      </c>
      <c r="L28" s="114">
        <v>0</v>
      </c>
      <c r="M28" s="114">
        <v>0</v>
      </c>
      <c r="N28" s="114">
        <v>0</v>
      </c>
      <c r="O28" s="114">
        <v>0</v>
      </c>
      <c r="P28" s="114">
        <v>0</v>
      </c>
      <c r="Q28" s="114">
        <v>0</v>
      </c>
      <c r="R28" s="114">
        <v>0</v>
      </c>
      <c r="S28" s="114">
        <v>0</v>
      </c>
      <c r="T28" s="114">
        <v>0</v>
      </c>
      <c r="U28" s="114">
        <v>0</v>
      </c>
      <c r="V28" s="114">
        <v>0</v>
      </c>
      <c r="W28" s="114">
        <v>0</v>
      </c>
      <c r="X28" s="114">
        <v>0</v>
      </c>
      <c r="Y28" s="114">
        <v>0</v>
      </c>
      <c r="Z28" s="114">
        <v>0</v>
      </c>
      <c r="AA28" s="114">
        <v>0</v>
      </c>
      <c r="AB28" s="114">
        <v>0</v>
      </c>
      <c r="AC28" s="114">
        <v>0</v>
      </c>
      <c r="AD28" s="114">
        <v>0</v>
      </c>
      <c r="AE28" s="114">
        <v>0</v>
      </c>
      <c r="AF28" s="114">
        <v>0</v>
      </c>
      <c r="AG28" s="114">
        <v>0</v>
      </c>
      <c r="AH28" s="114">
        <v>0</v>
      </c>
      <c r="AI28" s="114">
        <v>0</v>
      </c>
      <c r="AJ28" s="114">
        <v>0</v>
      </c>
      <c r="AK28" s="114">
        <v>0</v>
      </c>
      <c r="AL28" s="114">
        <v>0</v>
      </c>
      <c r="AM28" s="114">
        <v>0</v>
      </c>
      <c r="AN28" s="114">
        <v>0</v>
      </c>
      <c r="AO28" s="114">
        <v>0</v>
      </c>
      <c r="AP28" s="114">
        <v>0</v>
      </c>
      <c r="AQ28" s="114">
        <v>0</v>
      </c>
      <c r="AR28" s="114">
        <v>0</v>
      </c>
      <c r="AS28" s="114">
        <v>0</v>
      </c>
      <c r="AT28" s="115">
        <v>0</v>
      </c>
    </row>
    <row r="29" spans="2:46" ht="12" customHeight="1" x14ac:dyDescent="0.3">
      <c r="B29" s="113" t="s">
        <v>39</v>
      </c>
      <c r="C29" s="114" t="s">
        <v>82</v>
      </c>
      <c r="D29" s="114" t="s">
        <v>40</v>
      </c>
      <c r="E29" s="114" t="s">
        <v>85</v>
      </c>
      <c r="F29" s="114" t="s">
        <v>25</v>
      </c>
      <c r="G29" s="114" t="s">
        <v>514</v>
      </c>
      <c r="H29" s="114" t="s">
        <v>68</v>
      </c>
      <c r="I29" s="114" t="s">
        <v>25</v>
      </c>
      <c r="J29" s="114">
        <v>0</v>
      </c>
      <c r="K29" s="114">
        <v>0</v>
      </c>
      <c r="L29" s="114">
        <v>0</v>
      </c>
      <c r="M29" s="114">
        <v>0</v>
      </c>
      <c r="N29" s="114">
        <v>0</v>
      </c>
      <c r="O29" s="114">
        <v>0</v>
      </c>
      <c r="P29" s="114">
        <v>0</v>
      </c>
      <c r="Q29" s="114">
        <v>0</v>
      </c>
      <c r="R29" s="114">
        <v>0</v>
      </c>
      <c r="S29" s="114">
        <v>0</v>
      </c>
      <c r="T29" s="114">
        <v>0</v>
      </c>
      <c r="U29" s="114">
        <v>0</v>
      </c>
      <c r="V29" s="114">
        <v>0</v>
      </c>
      <c r="W29" s="114">
        <v>0</v>
      </c>
      <c r="X29" s="114">
        <v>0</v>
      </c>
      <c r="Y29" s="114">
        <v>0</v>
      </c>
      <c r="Z29" s="114">
        <v>0</v>
      </c>
      <c r="AA29" s="114">
        <v>0</v>
      </c>
      <c r="AB29" s="114">
        <v>0</v>
      </c>
      <c r="AC29" s="114">
        <v>0</v>
      </c>
      <c r="AD29" s="114">
        <v>0</v>
      </c>
      <c r="AE29" s="114">
        <v>0</v>
      </c>
      <c r="AF29" s="114">
        <v>0</v>
      </c>
      <c r="AG29" s="114">
        <v>0</v>
      </c>
      <c r="AH29" s="114">
        <v>0</v>
      </c>
      <c r="AI29" s="114">
        <v>0</v>
      </c>
      <c r="AJ29" s="114">
        <v>0</v>
      </c>
      <c r="AK29" s="114">
        <v>0</v>
      </c>
      <c r="AL29" s="114">
        <v>0</v>
      </c>
      <c r="AM29" s="114">
        <v>0</v>
      </c>
      <c r="AN29" s="114">
        <v>0</v>
      </c>
      <c r="AO29" s="114">
        <v>0</v>
      </c>
      <c r="AP29" s="114">
        <v>0</v>
      </c>
      <c r="AQ29" s="114">
        <v>0</v>
      </c>
      <c r="AR29" s="114">
        <v>0</v>
      </c>
      <c r="AS29" s="114">
        <v>0</v>
      </c>
      <c r="AT29" s="115">
        <v>0</v>
      </c>
    </row>
    <row r="30" spans="2:46" ht="12" customHeight="1" x14ac:dyDescent="0.3">
      <c r="B30" s="113" t="s">
        <v>39</v>
      </c>
      <c r="C30" s="114" t="s">
        <v>82</v>
      </c>
      <c r="D30" s="114" t="s">
        <v>40</v>
      </c>
      <c r="E30" s="114" t="s">
        <v>85</v>
      </c>
      <c r="F30" s="114" t="s">
        <v>25</v>
      </c>
      <c r="G30" s="114" t="s">
        <v>36</v>
      </c>
      <c r="H30" s="114" t="s">
        <v>68</v>
      </c>
      <c r="I30" s="114" t="s">
        <v>25</v>
      </c>
      <c r="J30" s="114">
        <v>0</v>
      </c>
      <c r="K30" s="114">
        <v>0</v>
      </c>
      <c r="L30" s="114">
        <v>0</v>
      </c>
      <c r="M30" s="114">
        <v>0</v>
      </c>
      <c r="N30" s="114">
        <v>0</v>
      </c>
      <c r="O30" s="114">
        <v>0</v>
      </c>
      <c r="P30" s="114">
        <v>0</v>
      </c>
      <c r="Q30" s="114">
        <v>0</v>
      </c>
      <c r="R30" s="114">
        <v>0</v>
      </c>
      <c r="S30" s="114">
        <v>0</v>
      </c>
      <c r="T30" s="114">
        <v>0</v>
      </c>
      <c r="U30" s="114">
        <v>0</v>
      </c>
      <c r="V30" s="114">
        <v>0</v>
      </c>
      <c r="W30" s="114">
        <v>0</v>
      </c>
      <c r="X30" s="114">
        <v>0</v>
      </c>
      <c r="Y30" s="114">
        <v>0</v>
      </c>
      <c r="Z30" s="114">
        <v>0</v>
      </c>
      <c r="AA30" s="114">
        <v>0</v>
      </c>
      <c r="AB30" s="114">
        <v>0</v>
      </c>
      <c r="AC30" s="114">
        <v>0</v>
      </c>
      <c r="AD30" s="114">
        <v>0</v>
      </c>
      <c r="AE30" s="114">
        <v>0</v>
      </c>
      <c r="AF30" s="114">
        <v>0</v>
      </c>
      <c r="AG30" s="114">
        <v>0</v>
      </c>
      <c r="AH30" s="114">
        <v>0</v>
      </c>
      <c r="AI30" s="114">
        <v>0</v>
      </c>
      <c r="AJ30" s="114">
        <v>0</v>
      </c>
      <c r="AK30" s="114">
        <v>0</v>
      </c>
      <c r="AL30" s="114">
        <v>0</v>
      </c>
      <c r="AM30" s="114">
        <v>0</v>
      </c>
      <c r="AN30" s="114">
        <v>0</v>
      </c>
      <c r="AO30" s="114">
        <v>0</v>
      </c>
      <c r="AP30" s="114">
        <v>0</v>
      </c>
      <c r="AQ30" s="114">
        <v>0</v>
      </c>
      <c r="AR30" s="114">
        <v>0</v>
      </c>
      <c r="AS30" s="114">
        <v>0</v>
      </c>
      <c r="AT30" s="115">
        <v>0</v>
      </c>
    </row>
    <row r="31" spans="2:46" ht="12" customHeight="1" x14ac:dyDescent="0.3">
      <c r="B31" s="113" t="s">
        <v>39</v>
      </c>
      <c r="C31" s="114" t="s">
        <v>82</v>
      </c>
      <c r="D31" s="114" t="s">
        <v>40</v>
      </c>
      <c r="E31" s="114" t="s">
        <v>25</v>
      </c>
      <c r="F31" s="114" t="s">
        <v>25</v>
      </c>
      <c r="G31" s="114" t="s">
        <v>35</v>
      </c>
      <c r="H31" s="114" t="s">
        <v>68</v>
      </c>
      <c r="I31" s="114" t="s">
        <v>25</v>
      </c>
      <c r="J31" s="114">
        <v>0</v>
      </c>
      <c r="K31" s="114">
        <v>0</v>
      </c>
      <c r="L31" s="114">
        <v>0</v>
      </c>
      <c r="M31" s="114">
        <v>0</v>
      </c>
      <c r="N31" s="114">
        <v>0</v>
      </c>
      <c r="O31" s="114">
        <v>0</v>
      </c>
      <c r="P31" s="114">
        <v>0</v>
      </c>
      <c r="Q31" s="114">
        <v>0</v>
      </c>
      <c r="R31" s="114">
        <v>0</v>
      </c>
      <c r="S31" s="114">
        <v>0</v>
      </c>
      <c r="T31" s="114">
        <v>0</v>
      </c>
      <c r="U31" s="114">
        <v>0</v>
      </c>
      <c r="V31" s="114">
        <v>0</v>
      </c>
      <c r="W31" s="114">
        <v>0</v>
      </c>
      <c r="X31" s="114">
        <v>0</v>
      </c>
      <c r="Y31" s="114">
        <v>0</v>
      </c>
      <c r="Z31" s="114">
        <v>0</v>
      </c>
      <c r="AA31" s="114">
        <v>0</v>
      </c>
      <c r="AB31" s="114">
        <v>0</v>
      </c>
      <c r="AC31" s="114">
        <v>0</v>
      </c>
      <c r="AD31" s="114">
        <v>0</v>
      </c>
      <c r="AE31" s="114">
        <v>0</v>
      </c>
      <c r="AF31" s="114">
        <v>0</v>
      </c>
      <c r="AG31" s="114">
        <v>0</v>
      </c>
      <c r="AH31" s="114">
        <v>0</v>
      </c>
      <c r="AI31" s="114">
        <v>0</v>
      </c>
      <c r="AJ31" s="114">
        <v>0</v>
      </c>
      <c r="AK31" s="114">
        <v>0</v>
      </c>
      <c r="AL31" s="114">
        <v>0</v>
      </c>
      <c r="AM31" s="114">
        <v>0</v>
      </c>
      <c r="AN31" s="114">
        <v>0</v>
      </c>
      <c r="AO31" s="114">
        <v>0</v>
      </c>
      <c r="AP31" s="114">
        <v>0</v>
      </c>
      <c r="AQ31" s="114">
        <v>0</v>
      </c>
      <c r="AR31" s="114">
        <v>0</v>
      </c>
      <c r="AS31" s="114">
        <v>0</v>
      </c>
      <c r="AT31" s="115">
        <v>0</v>
      </c>
    </row>
    <row r="32" spans="2:46" ht="12" customHeight="1" x14ac:dyDescent="0.3">
      <c r="B32" s="113" t="s">
        <v>39</v>
      </c>
      <c r="C32" s="114" t="s">
        <v>82</v>
      </c>
      <c r="D32" s="114" t="s">
        <v>40</v>
      </c>
      <c r="E32" s="114" t="s">
        <v>25</v>
      </c>
      <c r="F32" s="114" t="s">
        <v>25</v>
      </c>
      <c r="G32" s="114" t="s">
        <v>514</v>
      </c>
      <c r="H32" s="114" t="s">
        <v>68</v>
      </c>
      <c r="I32" s="114" t="s">
        <v>25</v>
      </c>
      <c r="J32" s="114">
        <v>0</v>
      </c>
      <c r="K32" s="114">
        <v>0</v>
      </c>
      <c r="L32" s="114">
        <v>0</v>
      </c>
      <c r="M32" s="114">
        <v>0</v>
      </c>
      <c r="N32" s="114">
        <v>0</v>
      </c>
      <c r="O32" s="114">
        <v>0</v>
      </c>
      <c r="P32" s="114">
        <v>0</v>
      </c>
      <c r="Q32" s="114">
        <v>0</v>
      </c>
      <c r="R32" s="114">
        <v>0</v>
      </c>
      <c r="S32" s="114">
        <v>0</v>
      </c>
      <c r="T32" s="114">
        <v>0</v>
      </c>
      <c r="U32" s="114">
        <v>0</v>
      </c>
      <c r="V32" s="114">
        <v>0</v>
      </c>
      <c r="W32" s="114">
        <v>0</v>
      </c>
      <c r="X32" s="114">
        <v>0</v>
      </c>
      <c r="Y32" s="114">
        <v>0</v>
      </c>
      <c r="Z32" s="114">
        <v>0</v>
      </c>
      <c r="AA32" s="114">
        <v>0</v>
      </c>
      <c r="AB32" s="114">
        <v>0</v>
      </c>
      <c r="AC32" s="114">
        <v>0</v>
      </c>
      <c r="AD32" s="114">
        <v>0</v>
      </c>
      <c r="AE32" s="114">
        <v>0</v>
      </c>
      <c r="AF32" s="114">
        <v>0</v>
      </c>
      <c r="AG32" s="114">
        <v>0</v>
      </c>
      <c r="AH32" s="114">
        <v>0</v>
      </c>
      <c r="AI32" s="114">
        <v>0</v>
      </c>
      <c r="AJ32" s="114">
        <v>0</v>
      </c>
      <c r="AK32" s="114">
        <v>0</v>
      </c>
      <c r="AL32" s="114">
        <v>0</v>
      </c>
      <c r="AM32" s="114">
        <v>0</v>
      </c>
      <c r="AN32" s="114">
        <v>0</v>
      </c>
      <c r="AO32" s="114">
        <v>0</v>
      </c>
      <c r="AP32" s="114">
        <v>0</v>
      </c>
      <c r="AQ32" s="114">
        <v>0</v>
      </c>
      <c r="AR32" s="114">
        <v>0</v>
      </c>
      <c r="AS32" s="114">
        <v>0</v>
      </c>
      <c r="AT32" s="115">
        <v>0</v>
      </c>
    </row>
    <row r="33" spans="2:46" ht="12" customHeight="1" x14ac:dyDescent="0.3">
      <c r="B33" s="113" t="s">
        <v>39</v>
      </c>
      <c r="C33" s="114" t="s">
        <v>82</v>
      </c>
      <c r="D33" s="114" t="s">
        <v>40</v>
      </c>
      <c r="E33" s="114" t="s">
        <v>25</v>
      </c>
      <c r="F33" s="114" t="s">
        <v>25</v>
      </c>
      <c r="G33" s="114" t="s">
        <v>36</v>
      </c>
      <c r="H33" s="114" t="s">
        <v>68</v>
      </c>
      <c r="I33" s="114" t="s">
        <v>25</v>
      </c>
      <c r="J33" s="114">
        <v>0</v>
      </c>
      <c r="K33" s="114">
        <v>0</v>
      </c>
      <c r="L33" s="114">
        <v>0</v>
      </c>
      <c r="M33" s="114">
        <v>0</v>
      </c>
      <c r="N33" s="114">
        <v>0</v>
      </c>
      <c r="O33" s="114">
        <v>0</v>
      </c>
      <c r="P33" s="114">
        <v>0</v>
      </c>
      <c r="Q33" s="114">
        <v>0</v>
      </c>
      <c r="R33" s="114">
        <v>0</v>
      </c>
      <c r="S33" s="114">
        <v>0</v>
      </c>
      <c r="T33" s="114">
        <v>0</v>
      </c>
      <c r="U33" s="114">
        <v>0</v>
      </c>
      <c r="V33" s="114">
        <v>0</v>
      </c>
      <c r="W33" s="114">
        <v>0</v>
      </c>
      <c r="X33" s="114">
        <v>0</v>
      </c>
      <c r="Y33" s="114">
        <v>0</v>
      </c>
      <c r="Z33" s="114">
        <v>0</v>
      </c>
      <c r="AA33" s="114">
        <v>0</v>
      </c>
      <c r="AB33" s="114">
        <v>0</v>
      </c>
      <c r="AC33" s="114">
        <v>0</v>
      </c>
      <c r="AD33" s="114">
        <v>0</v>
      </c>
      <c r="AE33" s="114">
        <v>0</v>
      </c>
      <c r="AF33" s="114">
        <v>0</v>
      </c>
      <c r="AG33" s="114">
        <v>0</v>
      </c>
      <c r="AH33" s="114">
        <v>0</v>
      </c>
      <c r="AI33" s="114">
        <v>0</v>
      </c>
      <c r="AJ33" s="114">
        <v>0</v>
      </c>
      <c r="AK33" s="114">
        <v>0</v>
      </c>
      <c r="AL33" s="114">
        <v>0</v>
      </c>
      <c r="AM33" s="114">
        <v>0</v>
      </c>
      <c r="AN33" s="114">
        <v>0</v>
      </c>
      <c r="AO33" s="114">
        <v>0</v>
      </c>
      <c r="AP33" s="114">
        <v>0</v>
      </c>
      <c r="AQ33" s="114">
        <v>0</v>
      </c>
      <c r="AR33" s="114">
        <v>0</v>
      </c>
      <c r="AS33" s="114">
        <v>0</v>
      </c>
      <c r="AT33" s="115">
        <v>0</v>
      </c>
    </row>
    <row r="34" spans="2:46" ht="12" customHeight="1" x14ac:dyDescent="0.3">
      <c r="B34" s="113" t="s">
        <v>39</v>
      </c>
      <c r="C34" s="114" t="s">
        <v>82</v>
      </c>
      <c r="D34" s="114" t="s">
        <v>40</v>
      </c>
      <c r="E34" s="114" t="s">
        <v>86</v>
      </c>
      <c r="F34" s="114" t="s">
        <v>25</v>
      </c>
      <c r="G34" s="114" t="s">
        <v>35</v>
      </c>
      <c r="H34" s="114" t="s">
        <v>68</v>
      </c>
      <c r="I34" s="114" t="s">
        <v>25</v>
      </c>
      <c r="J34" s="114">
        <v>0</v>
      </c>
      <c r="K34" s="114">
        <v>0</v>
      </c>
      <c r="L34" s="114">
        <v>0</v>
      </c>
      <c r="M34" s="114">
        <v>0</v>
      </c>
      <c r="N34" s="114">
        <v>0</v>
      </c>
      <c r="O34" s="114">
        <v>0</v>
      </c>
      <c r="P34" s="114">
        <v>0</v>
      </c>
      <c r="Q34" s="114">
        <v>0</v>
      </c>
      <c r="R34" s="114">
        <v>0</v>
      </c>
      <c r="S34" s="114">
        <v>0</v>
      </c>
      <c r="T34" s="114">
        <v>0</v>
      </c>
      <c r="U34" s="114">
        <v>0</v>
      </c>
      <c r="V34" s="114">
        <v>0</v>
      </c>
      <c r="W34" s="114">
        <v>0</v>
      </c>
      <c r="X34" s="114">
        <v>0</v>
      </c>
      <c r="Y34" s="114">
        <v>0</v>
      </c>
      <c r="Z34" s="114">
        <v>0</v>
      </c>
      <c r="AA34" s="114">
        <v>0</v>
      </c>
      <c r="AB34" s="114">
        <v>0</v>
      </c>
      <c r="AC34" s="114">
        <v>0</v>
      </c>
      <c r="AD34" s="114">
        <v>0</v>
      </c>
      <c r="AE34" s="114">
        <v>0</v>
      </c>
      <c r="AF34" s="114">
        <v>0</v>
      </c>
      <c r="AG34" s="114">
        <v>0</v>
      </c>
      <c r="AH34" s="114">
        <v>0</v>
      </c>
      <c r="AI34" s="114">
        <v>0</v>
      </c>
      <c r="AJ34" s="114">
        <v>0</v>
      </c>
      <c r="AK34" s="114">
        <v>0</v>
      </c>
      <c r="AL34" s="114">
        <v>0</v>
      </c>
      <c r="AM34" s="114">
        <v>0</v>
      </c>
      <c r="AN34" s="114">
        <v>0</v>
      </c>
      <c r="AO34" s="114">
        <v>0</v>
      </c>
      <c r="AP34" s="114">
        <v>0</v>
      </c>
      <c r="AQ34" s="114">
        <v>0</v>
      </c>
      <c r="AR34" s="114">
        <v>0</v>
      </c>
      <c r="AS34" s="114">
        <v>0</v>
      </c>
      <c r="AT34" s="115">
        <v>0</v>
      </c>
    </row>
    <row r="35" spans="2:46" ht="12" customHeight="1" x14ac:dyDescent="0.3">
      <c r="B35" s="113" t="s">
        <v>39</v>
      </c>
      <c r="C35" s="114" t="s">
        <v>82</v>
      </c>
      <c r="D35" s="114" t="s">
        <v>40</v>
      </c>
      <c r="E35" s="114" t="s">
        <v>86</v>
      </c>
      <c r="F35" s="114" t="s">
        <v>25</v>
      </c>
      <c r="G35" s="114" t="s">
        <v>514</v>
      </c>
      <c r="H35" s="114" t="s">
        <v>68</v>
      </c>
      <c r="I35" s="114" t="s">
        <v>25</v>
      </c>
      <c r="J35" s="114">
        <v>0</v>
      </c>
      <c r="K35" s="114">
        <v>0</v>
      </c>
      <c r="L35" s="114">
        <v>0</v>
      </c>
      <c r="M35" s="114">
        <v>0</v>
      </c>
      <c r="N35" s="114">
        <v>0</v>
      </c>
      <c r="O35" s="114">
        <v>0</v>
      </c>
      <c r="P35" s="114">
        <v>0</v>
      </c>
      <c r="Q35" s="114">
        <v>0</v>
      </c>
      <c r="R35" s="114">
        <v>0</v>
      </c>
      <c r="S35" s="114">
        <v>0</v>
      </c>
      <c r="T35" s="114">
        <v>0</v>
      </c>
      <c r="U35" s="114">
        <v>0</v>
      </c>
      <c r="V35" s="114">
        <v>0</v>
      </c>
      <c r="W35" s="114">
        <v>0</v>
      </c>
      <c r="X35" s="114">
        <v>0</v>
      </c>
      <c r="Y35" s="114">
        <v>0</v>
      </c>
      <c r="Z35" s="114">
        <v>0</v>
      </c>
      <c r="AA35" s="114">
        <v>0</v>
      </c>
      <c r="AB35" s="114">
        <v>0</v>
      </c>
      <c r="AC35" s="114">
        <v>0</v>
      </c>
      <c r="AD35" s="114">
        <v>0</v>
      </c>
      <c r="AE35" s="114">
        <v>0</v>
      </c>
      <c r="AF35" s="114">
        <v>0</v>
      </c>
      <c r="AG35" s="114">
        <v>0</v>
      </c>
      <c r="AH35" s="114">
        <v>0</v>
      </c>
      <c r="AI35" s="114">
        <v>0</v>
      </c>
      <c r="AJ35" s="114">
        <v>0</v>
      </c>
      <c r="AK35" s="114">
        <v>0</v>
      </c>
      <c r="AL35" s="114">
        <v>0</v>
      </c>
      <c r="AM35" s="114">
        <v>0</v>
      </c>
      <c r="AN35" s="114">
        <v>0</v>
      </c>
      <c r="AO35" s="114">
        <v>0</v>
      </c>
      <c r="AP35" s="114">
        <v>0</v>
      </c>
      <c r="AQ35" s="114">
        <v>0</v>
      </c>
      <c r="AR35" s="114">
        <v>0</v>
      </c>
      <c r="AS35" s="114">
        <v>0</v>
      </c>
      <c r="AT35" s="115">
        <v>0</v>
      </c>
    </row>
    <row r="36" spans="2:46" ht="12" customHeight="1" x14ac:dyDescent="0.3">
      <c r="B36" s="113" t="s">
        <v>39</v>
      </c>
      <c r="C36" s="114" t="s">
        <v>82</v>
      </c>
      <c r="D36" s="114" t="s">
        <v>40</v>
      </c>
      <c r="E36" s="114" t="s">
        <v>86</v>
      </c>
      <c r="F36" s="114" t="s">
        <v>25</v>
      </c>
      <c r="G36" s="114" t="s">
        <v>36</v>
      </c>
      <c r="H36" s="114" t="s">
        <v>68</v>
      </c>
      <c r="I36" s="114" t="s">
        <v>25</v>
      </c>
      <c r="J36" s="114">
        <v>0</v>
      </c>
      <c r="K36" s="114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  <c r="Q36" s="114">
        <v>0</v>
      </c>
      <c r="R36" s="114">
        <v>0</v>
      </c>
      <c r="S36" s="114">
        <v>0</v>
      </c>
      <c r="T36" s="114">
        <v>0</v>
      </c>
      <c r="U36" s="114">
        <v>0</v>
      </c>
      <c r="V36" s="114">
        <v>0</v>
      </c>
      <c r="W36" s="114">
        <v>0</v>
      </c>
      <c r="X36" s="114">
        <v>0</v>
      </c>
      <c r="Y36" s="114">
        <v>0</v>
      </c>
      <c r="Z36" s="114">
        <v>0</v>
      </c>
      <c r="AA36" s="114">
        <v>0</v>
      </c>
      <c r="AB36" s="114">
        <v>0</v>
      </c>
      <c r="AC36" s="114">
        <v>0</v>
      </c>
      <c r="AD36" s="114">
        <v>0</v>
      </c>
      <c r="AE36" s="114">
        <v>0</v>
      </c>
      <c r="AF36" s="114">
        <v>0</v>
      </c>
      <c r="AG36" s="114">
        <v>0</v>
      </c>
      <c r="AH36" s="114">
        <v>0</v>
      </c>
      <c r="AI36" s="114">
        <v>0</v>
      </c>
      <c r="AJ36" s="114">
        <v>0</v>
      </c>
      <c r="AK36" s="114">
        <v>0</v>
      </c>
      <c r="AL36" s="114">
        <v>0</v>
      </c>
      <c r="AM36" s="114">
        <v>0</v>
      </c>
      <c r="AN36" s="114">
        <v>0</v>
      </c>
      <c r="AO36" s="114">
        <v>0</v>
      </c>
      <c r="AP36" s="114">
        <v>0</v>
      </c>
      <c r="AQ36" s="114">
        <v>0</v>
      </c>
      <c r="AR36" s="114">
        <v>0</v>
      </c>
      <c r="AS36" s="114">
        <v>0</v>
      </c>
      <c r="AT36" s="115">
        <v>0</v>
      </c>
    </row>
    <row r="37" spans="2:46" ht="12" customHeight="1" x14ac:dyDescent="0.3">
      <c r="B37" s="113" t="s">
        <v>39</v>
      </c>
      <c r="C37" s="114" t="s">
        <v>23</v>
      </c>
      <c r="D37" s="114" t="s">
        <v>40</v>
      </c>
      <c r="E37" s="114" t="s">
        <v>85</v>
      </c>
      <c r="F37" s="114" t="s">
        <v>25</v>
      </c>
      <c r="G37" s="114" t="s">
        <v>25</v>
      </c>
      <c r="H37" s="114" t="s">
        <v>68</v>
      </c>
      <c r="I37" s="114" t="s">
        <v>25</v>
      </c>
      <c r="J37" s="114">
        <v>0</v>
      </c>
      <c r="K37" s="114">
        <v>0</v>
      </c>
      <c r="L37" s="114">
        <v>0</v>
      </c>
      <c r="M37" s="114">
        <v>0</v>
      </c>
      <c r="N37" s="114">
        <v>0</v>
      </c>
      <c r="O37" s="114">
        <v>0</v>
      </c>
      <c r="P37" s="114">
        <v>0</v>
      </c>
      <c r="Q37" s="114">
        <v>0</v>
      </c>
      <c r="R37" s="114">
        <v>0</v>
      </c>
      <c r="S37" s="114">
        <v>0</v>
      </c>
      <c r="T37" s="114">
        <v>0</v>
      </c>
      <c r="U37" s="114">
        <v>0</v>
      </c>
      <c r="V37" s="114">
        <v>0</v>
      </c>
      <c r="W37" s="114">
        <v>0</v>
      </c>
      <c r="X37" s="114">
        <v>0</v>
      </c>
      <c r="Y37" s="114">
        <v>0</v>
      </c>
      <c r="Z37" s="114">
        <v>0</v>
      </c>
      <c r="AA37" s="114">
        <v>0</v>
      </c>
      <c r="AB37" s="114">
        <v>0</v>
      </c>
      <c r="AC37" s="114">
        <v>0</v>
      </c>
      <c r="AD37" s="114">
        <v>0</v>
      </c>
      <c r="AE37" s="114">
        <v>0</v>
      </c>
      <c r="AF37" s="114">
        <v>0</v>
      </c>
      <c r="AG37" s="114">
        <v>0</v>
      </c>
      <c r="AH37" s="114">
        <v>0</v>
      </c>
      <c r="AI37" s="114">
        <v>0</v>
      </c>
      <c r="AJ37" s="114">
        <v>0</v>
      </c>
      <c r="AK37" s="114">
        <v>0</v>
      </c>
      <c r="AL37" s="114">
        <v>0</v>
      </c>
      <c r="AM37" s="114">
        <v>0</v>
      </c>
      <c r="AN37" s="114">
        <v>0</v>
      </c>
      <c r="AO37" s="114">
        <v>0</v>
      </c>
      <c r="AP37" s="114">
        <v>0</v>
      </c>
      <c r="AQ37" s="114">
        <v>0</v>
      </c>
      <c r="AR37" s="114">
        <v>0</v>
      </c>
      <c r="AS37" s="114">
        <v>0</v>
      </c>
      <c r="AT37" s="115">
        <v>0</v>
      </c>
    </row>
    <row r="38" spans="2:46" ht="12" customHeight="1" x14ac:dyDescent="0.3">
      <c r="B38" s="113" t="s">
        <v>39</v>
      </c>
      <c r="C38" s="114" t="s">
        <v>23</v>
      </c>
      <c r="D38" s="114" t="s">
        <v>40</v>
      </c>
      <c r="E38" s="114" t="s">
        <v>25</v>
      </c>
      <c r="F38" s="114" t="s">
        <v>25</v>
      </c>
      <c r="G38" s="114" t="s">
        <v>25</v>
      </c>
      <c r="H38" s="114" t="s">
        <v>68</v>
      </c>
      <c r="I38" s="114" t="s">
        <v>25</v>
      </c>
      <c r="J38" s="114">
        <v>0</v>
      </c>
      <c r="K38" s="114">
        <v>0</v>
      </c>
      <c r="L38" s="114">
        <v>0</v>
      </c>
      <c r="M38" s="114">
        <v>0</v>
      </c>
      <c r="N38" s="114">
        <v>0</v>
      </c>
      <c r="O38" s="114">
        <v>0</v>
      </c>
      <c r="P38" s="114">
        <v>0</v>
      </c>
      <c r="Q38" s="114">
        <v>0</v>
      </c>
      <c r="R38" s="114">
        <v>0</v>
      </c>
      <c r="S38" s="114">
        <v>0</v>
      </c>
      <c r="T38" s="114">
        <v>0</v>
      </c>
      <c r="U38" s="114">
        <v>0</v>
      </c>
      <c r="V38" s="114">
        <v>0</v>
      </c>
      <c r="W38" s="114">
        <v>0</v>
      </c>
      <c r="X38" s="114">
        <v>0</v>
      </c>
      <c r="Y38" s="114">
        <v>0</v>
      </c>
      <c r="Z38" s="114">
        <v>0</v>
      </c>
      <c r="AA38" s="114">
        <v>0</v>
      </c>
      <c r="AB38" s="114">
        <v>0</v>
      </c>
      <c r="AC38" s="114">
        <v>0</v>
      </c>
      <c r="AD38" s="114">
        <v>0</v>
      </c>
      <c r="AE38" s="114">
        <v>0</v>
      </c>
      <c r="AF38" s="114">
        <v>0</v>
      </c>
      <c r="AG38" s="114">
        <v>0</v>
      </c>
      <c r="AH38" s="114">
        <v>0</v>
      </c>
      <c r="AI38" s="114">
        <v>0</v>
      </c>
      <c r="AJ38" s="114">
        <v>0</v>
      </c>
      <c r="AK38" s="114">
        <v>0</v>
      </c>
      <c r="AL38" s="114">
        <v>0</v>
      </c>
      <c r="AM38" s="114">
        <v>0</v>
      </c>
      <c r="AN38" s="114">
        <v>0</v>
      </c>
      <c r="AO38" s="114">
        <v>0</v>
      </c>
      <c r="AP38" s="114">
        <v>0</v>
      </c>
      <c r="AQ38" s="114">
        <v>0</v>
      </c>
      <c r="AR38" s="114">
        <v>0</v>
      </c>
      <c r="AS38" s="114">
        <v>0</v>
      </c>
      <c r="AT38" s="115">
        <v>0</v>
      </c>
    </row>
    <row r="39" spans="2:46" ht="12" customHeight="1" x14ac:dyDescent="0.3">
      <c r="B39" s="113" t="s">
        <v>39</v>
      </c>
      <c r="C39" s="114" t="s">
        <v>23</v>
      </c>
      <c r="D39" s="114" t="s">
        <v>40</v>
      </c>
      <c r="E39" s="114" t="s">
        <v>86</v>
      </c>
      <c r="F39" s="114" t="s">
        <v>25</v>
      </c>
      <c r="G39" s="114" t="s">
        <v>25</v>
      </c>
      <c r="H39" s="114" t="s">
        <v>68</v>
      </c>
      <c r="I39" s="114" t="s">
        <v>25</v>
      </c>
      <c r="J39" s="114">
        <v>0</v>
      </c>
      <c r="K39" s="114">
        <v>0</v>
      </c>
      <c r="L39" s="114">
        <v>0</v>
      </c>
      <c r="M39" s="114">
        <v>0</v>
      </c>
      <c r="N39" s="114">
        <v>0</v>
      </c>
      <c r="O39" s="114">
        <v>0</v>
      </c>
      <c r="P39" s="114">
        <v>0</v>
      </c>
      <c r="Q39" s="114">
        <v>0</v>
      </c>
      <c r="R39" s="114">
        <v>0</v>
      </c>
      <c r="S39" s="114">
        <v>0</v>
      </c>
      <c r="T39" s="114">
        <v>0</v>
      </c>
      <c r="U39" s="114">
        <v>0</v>
      </c>
      <c r="V39" s="114">
        <v>0</v>
      </c>
      <c r="W39" s="114">
        <v>0</v>
      </c>
      <c r="X39" s="114">
        <v>0</v>
      </c>
      <c r="Y39" s="114">
        <v>0</v>
      </c>
      <c r="Z39" s="114">
        <v>0</v>
      </c>
      <c r="AA39" s="114">
        <v>0</v>
      </c>
      <c r="AB39" s="114">
        <v>0</v>
      </c>
      <c r="AC39" s="114">
        <v>0</v>
      </c>
      <c r="AD39" s="114">
        <v>0</v>
      </c>
      <c r="AE39" s="114">
        <v>0</v>
      </c>
      <c r="AF39" s="114">
        <v>0</v>
      </c>
      <c r="AG39" s="114">
        <v>0</v>
      </c>
      <c r="AH39" s="114">
        <v>0</v>
      </c>
      <c r="AI39" s="114">
        <v>0</v>
      </c>
      <c r="AJ39" s="114">
        <v>0</v>
      </c>
      <c r="AK39" s="114">
        <v>0</v>
      </c>
      <c r="AL39" s="114">
        <v>0</v>
      </c>
      <c r="AM39" s="114">
        <v>0</v>
      </c>
      <c r="AN39" s="114">
        <v>0</v>
      </c>
      <c r="AO39" s="114">
        <v>0</v>
      </c>
      <c r="AP39" s="114">
        <v>0</v>
      </c>
      <c r="AQ39" s="114">
        <v>0</v>
      </c>
      <c r="AR39" s="114">
        <v>0</v>
      </c>
      <c r="AS39" s="114">
        <v>0</v>
      </c>
      <c r="AT39" s="115">
        <v>0</v>
      </c>
    </row>
    <row r="40" spans="2:46" ht="12" customHeight="1" x14ac:dyDescent="0.3">
      <c r="B40" s="113" t="s">
        <v>39</v>
      </c>
      <c r="C40" s="114" t="s">
        <v>84</v>
      </c>
      <c r="D40" s="114" t="s">
        <v>40</v>
      </c>
      <c r="E40" s="114" t="s">
        <v>85</v>
      </c>
      <c r="F40" s="114" t="s">
        <v>25</v>
      </c>
      <c r="G40" s="114" t="s">
        <v>25</v>
      </c>
      <c r="H40" s="114" t="s">
        <v>68</v>
      </c>
      <c r="I40" s="114" t="s">
        <v>25</v>
      </c>
      <c r="J40" s="114">
        <v>0</v>
      </c>
      <c r="K40" s="114">
        <v>0</v>
      </c>
      <c r="L40" s="114">
        <v>0</v>
      </c>
      <c r="M40" s="114">
        <v>0</v>
      </c>
      <c r="N40" s="114">
        <v>0</v>
      </c>
      <c r="O40" s="114">
        <v>0</v>
      </c>
      <c r="P40" s="114">
        <v>0</v>
      </c>
      <c r="Q40" s="114">
        <v>0</v>
      </c>
      <c r="R40" s="114">
        <v>0</v>
      </c>
      <c r="S40" s="114">
        <v>0</v>
      </c>
      <c r="T40" s="114">
        <v>0</v>
      </c>
      <c r="U40" s="114">
        <v>0</v>
      </c>
      <c r="V40" s="114">
        <v>0</v>
      </c>
      <c r="W40" s="114">
        <v>0</v>
      </c>
      <c r="X40" s="114">
        <v>0</v>
      </c>
      <c r="Y40" s="114">
        <v>0</v>
      </c>
      <c r="Z40" s="114">
        <v>0</v>
      </c>
      <c r="AA40" s="114">
        <v>0</v>
      </c>
      <c r="AB40" s="114">
        <v>0</v>
      </c>
      <c r="AC40" s="114">
        <v>0</v>
      </c>
      <c r="AD40" s="114">
        <v>0</v>
      </c>
      <c r="AE40" s="114">
        <v>0</v>
      </c>
      <c r="AF40" s="114">
        <v>0</v>
      </c>
      <c r="AG40" s="114">
        <v>0</v>
      </c>
      <c r="AH40" s="114">
        <v>0</v>
      </c>
      <c r="AI40" s="114">
        <v>0</v>
      </c>
      <c r="AJ40" s="114">
        <v>0</v>
      </c>
      <c r="AK40" s="114">
        <v>0</v>
      </c>
      <c r="AL40" s="114">
        <v>0</v>
      </c>
      <c r="AM40" s="114">
        <v>0</v>
      </c>
      <c r="AN40" s="114">
        <v>0</v>
      </c>
      <c r="AO40" s="114">
        <v>0</v>
      </c>
      <c r="AP40" s="114">
        <v>0</v>
      </c>
      <c r="AQ40" s="114">
        <v>0</v>
      </c>
      <c r="AR40" s="114">
        <v>0</v>
      </c>
      <c r="AS40" s="114">
        <v>0</v>
      </c>
      <c r="AT40" s="115">
        <v>0</v>
      </c>
    </row>
    <row r="41" spans="2:46" ht="12" customHeight="1" x14ac:dyDescent="0.3">
      <c r="B41" s="113" t="s">
        <v>39</v>
      </c>
      <c r="C41" s="114" t="s">
        <v>84</v>
      </c>
      <c r="D41" s="114" t="s">
        <v>40</v>
      </c>
      <c r="E41" s="114" t="s">
        <v>25</v>
      </c>
      <c r="F41" s="114" t="s">
        <v>25</v>
      </c>
      <c r="G41" s="114" t="s">
        <v>25</v>
      </c>
      <c r="H41" s="114" t="s">
        <v>68</v>
      </c>
      <c r="I41" s="114" t="s">
        <v>25</v>
      </c>
      <c r="J41" s="114">
        <v>0</v>
      </c>
      <c r="K41" s="114">
        <v>0</v>
      </c>
      <c r="L41" s="114">
        <v>0</v>
      </c>
      <c r="M41" s="114">
        <v>0</v>
      </c>
      <c r="N41" s="114">
        <v>0</v>
      </c>
      <c r="O41" s="114">
        <v>0</v>
      </c>
      <c r="P41" s="114">
        <v>0</v>
      </c>
      <c r="Q41" s="114">
        <v>0</v>
      </c>
      <c r="R41" s="114">
        <v>0</v>
      </c>
      <c r="S41" s="114">
        <v>0</v>
      </c>
      <c r="T41" s="114">
        <v>0</v>
      </c>
      <c r="U41" s="114">
        <v>0</v>
      </c>
      <c r="V41" s="114">
        <v>0</v>
      </c>
      <c r="W41" s="114">
        <v>0</v>
      </c>
      <c r="X41" s="114">
        <v>0</v>
      </c>
      <c r="Y41" s="114">
        <v>0</v>
      </c>
      <c r="Z41" s="114">
        <v>0</v>
      </c>
      <c r="AA41" s="114">
        <v>0</v>
      </c>
      <c r="AB41" s="114">
        <v>0</v>
      </c>
      <c r="AC41" s="114">
        <v>0</v>
      </c>
      <c r="AD41" s="114">
        <v>0</v>
      </c>
      <c r="AE41" s="114">
        <v>0</v>
      </c>
      <c r="AF41" s="114">
        <v>0</v>
      </c>
      <c r="AG41" s="114">
        <v>0</v>
      </c>
      <c r="AH41" s="114">
        <v>0</v>
      </c>
      <c r="AI41" s="114">
        <v>0</v>
      </c>
      <c r="AJ41" s="114">
        <v>0</v>
      </c>
      <c r="AK41" s="114">
        <v>0</v>
      </c>
      <c r="AL41" s="114">
        <v>0</v>
      </c>
      <c r="AM41" s="114">
        <v>0</v>
      </c>
      <c r="AN41" s="114">
        <v>0</v>
      </c>
      <c r="AO41" s="114">
        <v>0</v>
      </c>
      <c r="AP41" s="114">
        <v>0</v>
      </c>
      <c r="AQ41" s="114">
        <v>0</v>
      </c>
      <c r="AR41" s="114">
        <v>0</v>
      </c>
      <c r="AS41" s="114">
        <v>0</v>
      </c>
      <c r="AT41" s="115">
        <v>0</v>
      </c>
    </row>
    <row r="42" spans="2:46" ht="12" customHeight="1" x14ac:dyDescent="0.3">
      <c r="B42" s="113" t="s">
        <v>39</v>
      </c>
      <c r="C42" s="114" t="s">
        <v>84</v>
      </c>
      <c r="D42" s="114" t="s">
        <v>40</v>
      </c>
      <c r="E42" s="114" t="s">
        <v>86</v>
      </c>
      <c r="F42" s="114" t="s">
        <v>25</v>
      </c>
      <c r="G42" s="114" t="s">
        <v>25</v>
      </c>
      <c r="H42" s="114" t="s">
        <v>68</v>
      </c>
      <c r="I42" s="114" t="s">
        <v>25</v>
      </c>
      <c r="J42" s="114">
        <v>0</v>
      </c>
      <c r="K42" s="114">
        <v>0</v>
      </c>
      <c r="L42" s="114">
        <v>0</v>
      </c>
      <c r="M42" s="114">
        <v>0</v>
      </c>
      <c r="N42" s="114">
        <v>0</v>
      </c>
      <c r="O42" s="114">
        <v>0</v>
      </c>
      <c r="P42" s="114">
        <v>0</v>
      </c>
      <c r="Q42" s="114">
        <v>0</v>
      </c>
      <c r="R42" s="114">
        <v>0</v>
      </c>
      <c r="S42" s="114">
        <v>0</v>
      </c>
      <c r="T42" s="114">
        <v>0</v>
      </c>
      <c r="U42" s="114">
        <v>0</v>
      </c>
      <c r="V42" s="114">
        <v>0</v>
      </c>
      <c r="W42" s="114">
        <v>0</v>
      </c>
      <c r="X42" s="114">
        <v>0</v>
      </c>
      <c r="Y42" s="114">
        <v>0</v>
      </c>
      <c r="Z42" s="114">
        <v>0</v>
      </c>
      <c r="AA42" s="114">
        <v>0</v>
      </c>
      <c r="AB42" s="114">
        <v>0</v>
      </c>
      <c r="AC42" s="114">
        <v>0</v>
      </c>
      <c r="AD42" s="114">
        <v>0</v>
      </c>
      <c r="AE42" s="114">
        <v>0</v>
      </c>
      <c r="AF42" s="114">
        <v>0</v>
      </c>
      <c r="AG42" s="114">
        <v>0</v>
      </c>
      <c r="AH42" s="114">
        <v>0</v>
      </c>
      <c r="AI42" s="114">
        <v>0</v>
      </c>
      <c r="AJ42" s="114">
        <v>0</v>
      </c>
      <c r="AK42" s="114">
        <v>0</v>
      </c>
      <c r="AL42" s="114">
        <v>0</v>
      </c>
      <c r="AM42" s="114">
        <v>0</v>
      </c>
      <c r="AN42" s="114">
        <v>0</v>
      </c>
      <c r="AO42" s="114">
        <v>0</v>
      </c>
      <c r="AP42" s="114">
        <v>0</v>
      </c>
      <c r="AQ42" s="114">
        <v>0</v>
      </c>
      <c r="AR42" s="114">
        <v>0</v>
      </c>
      <c r="AS42" s="114">
        <v>0</v>
      </c>
      <c r="AT42" s="115">
        <v>0</v>
      </c>
    </row>
    <row r="43" spans="2:46" ht="12" customHeight="1" x14ac:dyDescent="0.3">
      <c r="B43" s="113" t="s">
        <v>31</v>
      </c>
      <c r="C43" s="114" t="s">
        <v>82</v>
      </c>
      <c r="D43" s="114" t="s">
        <v>25</v>
      </c>
      <c r="E43" s="114" t="s">
        <v>25</v>
      </c>
      <c r="F43" s="114" t="s">
        <v>25</v>
      </c>
      <c r="G43" s="114" t="s">
        <v>35</v>
      </c>
      <c r="H43" s="114" t="s">
        <v>68</v>
      </c>
      <c r="I43" s="114" t="s">
        <v>25</v>
      </c>
      <c r="J43" s="114">
        <v>0</v>
      </c>
      <c r="K43" s="114">
        <v>0</v>
      </c>
      <c r="L43" s="114">
        <v>0</v>
      </c>
      <c r="M43" s="114">
        <v>0</v>
      </c>
      <c r="N43" s="114">
        <v>0</v>
      </c>
      <c r="O43" s="114">
        <v>0</v>
      </c>
      <c r="P43" s="114">
        <v>0</v>
      </c>
      <c r="Q43" s="114">
        <v>0</v>
      </c>
      <c r="R43" s="114">
        <v>0</v>
      </c>
      <c r="S43" s="114">
        <v>0</v>
      </c>
      <c r="T43" s="114">
        <v>0</v>
      </c>
      <c r="U43" s="114">
        <v>0</v>
      </c>
      <c r="V43" s="114">
        <v>0</v>
      </c>
      <c r="W43" s="114">
        <v>0</v>
      </c>
      <c r="X43" s="114">
        <v>0</v>
      </c>
      <c r="Y43" s="114">
        <v>0</v>
      </c>
      <c r="Z43" s="114">
        <v>0</v>
      </c>
      <c r="AA43" s="114">
        <v>0</v>
      </c>
      <c r="AB43" s="114">
        <v>0</v>
      </c>
      <c r="AC43" s="114">
        <v>0</v>
      </c>
      <c r="AD43" s="114">
        <v>0</v>
      </c>
      <c r="AE43" s="114">
        <v>0</v>
      </c>
      <c r="AF43" s="114">
        <v>0</v>
      </c>
      <c r="AG43" s="114">
        <v>0</v>
      </c>
      <c r="AH43" s="114">
        <v>0</v>
      </c>
      <c r="AI43" s="114">
        <v>0</v>
      </c>
      <c r="AJ43" s="114">
        <v>0</v>
      </c>
      <c r="AK43" s="114">
        <v>0</v>
      </c>
      <c r="AL43" s="114">
        <v>0</v>
      </c>
      <c r="AM43" s="114">
        <v>0</v>
      </c>
      <c r="AN43" s="114">
        <v>0</v>
      </c>
      <c r="AO43" s="114">
        <v>0</v>
      </c>
      <c r="AP43" s="114">
        <v>0</v>
      </c>
      <c r="AQ43" s="114">
        <v>0</v>
      </c>
      <c r="AR43" s="114">
        <v>0</v>
      </c>
      <c r="AS43" s="114">
        <v>0</v>
      </c>
      <c r="AT43" s="115">
        <v>0</v>
      </c>
    </row>
    <row r="44" spans="2:46" ht="12" customHeight="1" x14ac:dyDescent="0.3">
      <c r="B44" s="113" t="s">
        <v>31</v>
      </c>
      <c r="C44" s="114" t="s">
        <v>82</v>
      </c>
      <c r="D44" s="114" t="s">
        <v>25</v>
      </c>
      <c r="E44" s="114" t="s">
        <v>25</v>
      </c>
      <c r="F44" s="114" t="s">
        <v>25</v>
      </c>
      <c r="G44" s="114" t="s">
        <v>514</v>
      </c>
      <c r="H44" s="114" t="s">
        <v>68</v>
      </c>
      <c r="I44" s="114" t="s">
        <v>25</v>
      </c>
      <c r="J44" s="114">
        <v>0</v>
      </c>
      <c r="K44" s="114">
        <v>0</v>
      </c>
      <c r="L44" s="114">
        <v>0</v>
      </c>
      <c r="M44" s="114">
        <v>0</v>
      </c>
      <c r="N44" s="114">
        <v>0</v>
      </c>
      <c r="O44" s="114">
        <v>0</v>
      </c>
      <c r="P44" s="114">
        <v>0</v>
      </c>
      <c r="Q44" s="114">
        <v>0</v>
      </c>
      <c r="R44" s="114">
        <v>0</v>
      </c>
      <c r="S44" s="114">
        <v>0</v>
      </c>
      <c r="T44" s="114">
        <v>0</v>
      </c>
      <c r="U44" s="114">
        <v>0</v>
      </c>
      <c r="V44" s="114">
        <v>0</v>
      </c>
      <c r="W44" s="114">
        <v>0</v>
      </c>
      <c r="X44" s="114">
        <v>0</v>
      </c>
      <c r="Y44" s="114">
        <v>0</v>
      </c>
      <c r="Z44" s="114">
        <v>0</v>
      </c>
      <c r="AA44" s="114">
        <v>0</v>
      </c>
      <c r="AB44" s="114">
        <v>0</v>
      </c>
      <c r="AC44" s="114">
        <v>0</v>
      </c>
      <c r="AD44" s="114">
        <v>0</v>
      </c>
      <c r="AE44" s="114">
        <v>0</v>
      </c>
      <c r="AF44" s="114">
        <v>0</v>
      </c>
      <c r="AG44" s="114">
        <v>0</v>
      </c>
      <c r="AH44" s="114">
        <v>0</v>
      </c>
      <c r="AI44" s="114">
        <v>0</v>
      </c>
      <c r="AJ44" s="114">
        <v>0</v>
      </c>
      <c r="AK44" s="114">
        <v>0</v>
      </c>
      <c r="AL44" s="114">
        <v>0</v>
      </c>
      <c r="AM44" s="114">
        <v>0</v>
      </c>
      <c r="AN44" s="114">
        <v>0</v>
      </c>
      <c r="AO44" s="114">
        <v>0</v>
      </c>
      <c r="AP44" s="114">
        <v>0</v>
      </c>
      <c r="AQ44" s="114">
        <v>0</v>
      </c>
      <c r="AR44" s="114">
        <v>0</v>
      </c>
      <c r="AS44" s="114">
        <v>0</v>
      </c>
      <c r="AT44" s="115">
        <v>0</v>
      </c>
    </row>
    <row r="45" spans="2:46" ht="12" customHeight="1" x14ac:dyDescent="0.3">
      <c r="B45" s="113" t="s">
        <v>31</v>
      </c>
      <c r="C45" s="114" t="s">
        <v>82</v>
      </c>
      <c r="D45" s="114" t="s">
        <v>25</v>
      </c>
      <c r="E45" s="114" t="s">
        <v>25</v>
      </c>
      <c r="F45" s="114" t="s">
        <v>25</v>
      </c>
      <c r="G45" s="114" t="s">
        <v>36</v>
      </c>
      <c r="H45" s="114" t="s">
        <v>68</v>
      </c>
      <c r="I45" s="114" t="s">
        <v>25</v>
      </c>
      <c r="J45" s="114">
        <v>0</v>
      </c>
      <c r="K45" s="114">
        <v>0</v>
      </c>
      <c r="L45" s="114">
        <v>0</v>
      </c>
      <c r="M45" s="114">
        <v>0</v>
      </c>
      <c r="N45" s="114">
        <v>0</v>
      </c>
      <c r="O45" s="114">
        <v>0</v>
      </c>
      <c r="P45" s="114">
        <v>0</v>
      </c>
      <c r="Q45" s="114">
        <v>0</v>
      </c>
      <c r="R45" s="114">
        <v>0</v>
      </c>
      <c r="S45" s="114">
        <v>0</v>
      </c>
      <c r="T45" s="114">
        <v>0</v>
      </c>
      <c r="U45" s="114">
        <v>0</v>
      </c>
      <c r="V45" s="114">
        <v>0</v>
      </c>
      <c r="W45" s="114">
        <v>0</v>
      </c>
      <c r="X45" s="114">
        <v>0</v>
      </c>
      <c r="Y45" s="114">
        <v>0</v>
      </c>
      <c r="Z45" s="114">
        <v>0</v>
      </c>
      <c r="AA45" s="114">
        <v>0</v>
      </c>
      <c r="AB45" s="114">
        <v>0</v>
      </c>
      <c r="AC45" s="114">
        <v>0</v>
      </c>
      <c r="AD45" s="114">
        <v>0</v>
      </c>
      <c r="AE45" s="114">
        <v>0</v>
      </c>
      <c r="AF45" s="114">
        <v>0</v>
      </c>
      <c r="AG45" s="114">
        <v>0</v>
      </c>
      <c r="AH45" s="114">
        <v>0</v>
      </c>
      <c r="AI45" s="114">
        <v>0</v>
      </c>
      <c r="AJ45" s="114">
        <v>0</v>
      </c>
      <c r="AK45" s="114">
        <v>0</v>
      </c>
      <c r="AL45" s="114">
        <v>0</v>
      </c>
      <c r="AM45" s="114">
        <v>0</v>
      </c>
      <c r="AN45" s="114">
        <v>0</v>
      </c>
      <c r="AO45" s="114">
        <v>0</v>
      </c>
      <c r="AP45" s="114">
        <v>0</v>
      </c>
      <c r="AQ45" s="114">
        <v>0</v>
      </c>
      <c r="AR45" s="114">
        <v>0</v>
      </c>
      <c r="AS45" s="114">
        <v>0</v>
      </c>
      <c r="AT45" s="115">
        <v>0</v>
      </c>
    </row>
    <row r="46" spans="2:46" ht="12" customHeight="1" x14ac:dyDescent="0.3">
      <c r="B46" s="113" t="s">
        <v>31</v>
      </c>
      <c r="C46" s="114" t="s">
        <v>23</v>
      </c>
      <c r="D46" s="114" t="s">
        <v>25</v>
      </c>
      <c r="E46" s="114" t="s">
        <v>25</v>
      </c>
      <c r="F46" s="114" t="s">
        <v>25</v>
      </c>
      <c r="G46" s="114" t="s">
        <v>25</v>
      </c>
      <c r="H46" s="114" t="s">
        <v>68</v>
      </c>
      <c r="I46" s="114" t="s">
        <v>25</v>
      </c>
      <c r="J46" s="114">
        <v>0</v>
      </c>
      <c r="K46" s="114">
        <v>0</v>
      </c>
      <c r="L46" s="114">
        <v>0</v>
      </c>
      <c r="M46" s="114">
        <v>0</v>
      </c>
      <c r="N46" s="114">
        <v>0</v>
      </c>
      <c r="O46" s="114">
        <v>0</v>
      </c>
      <c r="P46" s="114">
        <v>0</v>
      </c>
      <c r="Q46" s="114">
        <v>0</v>
      </c>
      <c r="R46" s="114">
        <v>0</v>
      </c>
      <c r="S46" s="114">
        <v>0</v>
      </c>
      <c r="T46" s="114">
        <v>0</v>
      </c>
      <c r="U46" s="114">
        <v>0</v>
      </c>
      <c r="V46" s="114">
        <v>0</v>
      </c>
      <c r="W46" s="114">
        <v>0</v>
      </c>
      <c r="X46" s="114">
        <v>0</v>
      </c>
      <c r="Y46" s="114">
        <v>0</v>
      </c>
      <c r="Z46" s="114">
        <v>0</v>
      </c>
      <c r="AA46" s="114">
        <v>0</v>
      </c>
      <c r="AB46" s="114">
        <v>0</v>
      </c>
      <c r="AC46" s="114">
        <v>0</v>
      </c>
      <c r="AD46" s="114">
        <v>0</v>
      </c>
      <c r="AE46" s="114">
        <v>0</v>
      </c>
      <c r="AF46" s="114">
        <v>0</v>
      </c>
      <c r="AG46" s="114">
        <v>0</v>
      </c>
      <c r="AH46" s="114">
        <v>0</v>
      </c>
      <c r="AI46" s="114">
        <v>0</v>
      </c>
      <c r="AJ46" s="114">
        <v>0</v>
      </c>
      <c r="AK46" s="114">
        <v>0</v>
      </c>
      <c r="AL46" s="114">
        <v>0</v>
      </c>
      <c r="AM46" s="114">
        <v>0</v>
      </c>
      <c r="AN46" s="114">
        <v>0</v>
      </c>
      <c r="AO46" s="114">
        <v>0</v>
      </c>
      <c r="AP46" s="114">
        <v>0</v>
      </c>
      <c r="AQ46" s="114">
        <v>0</v>
      </c>
      <c r="AR46" s="114">
        <v>0</v>
      </c>
      <c r="AS46" s="114">
        <v>0</v>
      </c>
      <c r="AT46" s="115">
        <v>0</v>
      </c>
    </row>
    <row r="47" spans="2:46" ht="12" customHeight="1" x14ac:dyDescent="0.3">
      <c r="B47" s="113" t="s">
        <v>31</v>
      </c>
      <c r="C47" s="114" t="s">
        <v>84</v>
      </c>
      <c r="D47" s="114" t="s">
        <v>25</v>
      </c>
      <c r="E47" s="114" t="s">
        <v>25</v>
      </c>
      <c r="F47" s="114" t="s">
        <v>25</v>
      </c>
      <c r="G47" s="114" t="s">
        <v>25</v>
      </c>
      <c r="H47" s="114" t="s">
        <v>68</v>
      </c>
      <c r="I47" s="114" t="s">
        <v>25</v>
      </c>
      <c r="J47" s="114">
        <v>0</v>
      </c>
      <c r="K47" s="114">
        <v>0</v>
      </c>
      <c r="L47" s="114">
        <v>0</v>
      </c>
      <c r="M47" s="114">
        <v>0</v>
      </c>
      <c r="N47" s="114">
        <v>0</v>
      </c>
      <c r="O47" s="114">
        <v>0</v>
      </c>
      <c r="P47" s="114">
        <v>0</v>
      </c>
      <c r="Q47" s="114">
        <v>0</v>
      </c>
      <c r="R47" s="114">
        <v>0</v>
      </c>
      <c r="S47" s="114">
        <v>0</v>
      </c>
      <c r="T47" s="114">
        <v>0</v>
      </c>
      <c r="U47" s="114">
        <v>0</v>
      </c>
      <c r="V47" s="114">
        <v>0</v>
      </c>
      <c r="W47" s="114">
        <v>0</v>
      </c>
      <c r="X47" s="114">
        <v>0</v>
      </c>
      <c r="Y47" s="114">
        <v>0</v>
      </c>
      <c r="Z47" s="114">
        <v>0</v>
      </c>
      <c r="AA47" s="114">
        <v>0</v>
      </c>
      <c r="AB47" s="114">
        <v>0</v>
      </c>
      <c r="AC47" s="114">
        <v>0</v>
      </c>
      <c r="AD47" s="114">
        <v>0</v>
      </c>
      <c r="AE47" s="114">
        <v>0</v>
      </c>
      <c r="AF47" s="114">
        <v>0</v>
      </c>
      <c r="AG47" s="114">
        <v>0</v>
      </c>
      <c r="AH47" s="114">
        <v>0</v>
      </c>
      <c r="AI47" s="114">
        <v>0</v>
      </c>
      <c r="AJ47" s="114">
        <v>0</v>
      </c>
      <c r="AK47" s="114">
        <v>0</v>
      </c>
      <c r="AL47" s="114">
        <v>0</v>
      </c>
      <c r="AM47" s="114">
        <v>0</v>
      </c>
      <c r="AN47" s="114">
        <v>0</v>
      </c>
      <c r="AO47" s="114">
        <v>0</v>
      </c>
      <c r="AP47" s="114">
        <v>0</v>
      </c>
      <c r="AQ47" s="114">
        <v>0</v>
      </c>
      <c r="AR47" s="114">
        <v>0</v>
      </c>
      <c r="AS47" s="114">
        <v>0</v>
      </c>
      <c r="AT47" s="115">
        <v>0</v>
      </c>
    </row>
    <row r="48" spans="2:46" ht="12" customHeight="1" x14ac:dyDescent="0.3">
      <c r="B48" s="113" t="s">
        <v>43</v>
      </c>
      <c r="C48" s="114" t="s">
        <v>23</v>
      </c>
      <c r="D48" s="114" t="s">
        <v>44</v>
      </c>
      <c r="E48" s="114" t="s">
        <v>45</v>
      </c>
      <c r="F48" s="114" t="s">
        <v>25</v>
      </c>
      <c r="G48" s="114" t="s">
        <v>25</v>
      </c>
      <c r="H48" s="114" t="s">
        <v>68</v>
      </c>
      <c r="I48" s="114" t="s">
        <v>25</v>
      </c>
      <c r="J48" s="114">
        <v>0</v>
      </c>
      <c r="K48" s="114">
        <v>0</v>
      </c>
      <c r="L48" s="114">
        <v>0</v>
      </c>
      <c r="M48" s="114">
        <v>0</v>
      </c>
      <c r="N48" s="114">
        <v>0</v>
      </c>
      <c r="O48" s="114">
        <v>0</v>
      </c>
      <c r="P48" s="114">
        <v>0</v>
      </c>
      <c r="Q48" s="114">
        <v>0</v>
      </c>
      <c r="R48" s="114">
        <v>0</v>
      </c>
      <c r="S48" s="114">
        <v>0</v>
      </c>
      <c r="T48" s="114">
        <v>0</v>
      </c>
      <c r="U48" s="114">
        <v>0</v>
      </c>
      <c r="V48" s="114">
        <v>0</v>
      </c>
      <c r="W48" s="114">
        <v>0</v>
      </c>
      <c r="X48" s="114">
        <v>0</v>
      </c>
      <c r="Y48" s="114">
        <v>0</v>
      </c>
      <c r="Z48" s="114">
        <v>0</v>
      </c>
      <c r="AA48" s="114">
        <v>0</v>
      </c>
      <c r="AB48" s="114">
        <v>0</v>
      </c>
      <c r="AC48" s="114">
        <v>0</v>
      </c>
      <c r="AD48" s="114">
        <v>0</v>
      </c>
      <c r="AE48" s="114">
        <v>0</v>
      </c>
      <c r="AF48" s="114">
        <v>0</v>
      </c>
      <c r="AG48" s="114">
        <v>0</v>
      </c>
      <c r="AH48" s="114">
        <v>0</v>
      </c>
      <c r="AI48" s="114">
        <v>0</v>
      </c>
      <c r="AJ48" s="114">
        <v>0</v>
      </c>
      <c r="AK48" s="114">
        <v>0</v>
      </c>
      <c r="AL48" s="114">
        <v>0</v>
      </c>
      <c r="AM48" s="114">
        <v>0</v>
      </c>
      <c r="AN48" s="114">
        <v>0</v>
      </c>
      <c r="AO48" s="114">
        <v>0</v>
      </c>
      <c r="AP48" s="114">
        <v>0</v>
      </c>
      <c r="AQ48" s="114">
        <v>0</v>
      </c>
      <c r="AR48" s="114">
        <v>0</v>
      </c>
      <c r="AS48" s="114">
        <v>0</v>
      </c>
      <c r="AT48" s="115">
        <v>0</v>
      </c>
    </row>
    <row r="49" spans="2:46" ht="12" customHeight="1" x14ac:dyDescent="0.3">
      <c r="B49" s="116" t="s">
        <v>43</v>
      </c>
      <c r="C49" s="117" t="s">
        <v>23</v>
      </c>
      <c r="D49" s="117" t="s">
        <v>44</v>
      </c>
      <c r="E49" s="117" t="s">
        <v>87</v>
      </c>
      <c r="F49" s="117" t="s">
        <v>25</v>
      </c>
      <c r="G49" s="117" t="s">
        <v>25</v>
      </c>
      <c r="H49" s="117" t="s">
        <v>68</v>
      </c>
      <c r="I49" s="117" t="s">
        <v>25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7">
        <v>0</v>
      </c>
      <c r="U49" s="117">
        <v>0</v>
      </c>
      <c r="V49" s="117">
        <v>0</v>
      </c>
      <c r="W49" s="117">
        <v>0</v>
      </c>
      <c r="X49" s="117">
        <v>0</v>
      </c>
      <c r="Y49" s="117">
        <v>0</v>
      </c>
      <c r="Z49" s="117">
        <v>0</v>
      </c>
      <c r="AA49" s="117">
        <v>0</v>
      </c>
      <c r="AB49" s="117">
        <v>0</v>
      </c>
      <c r="AC49" s="117">
        <v>0</v>
      </c>
      <c r="AD49" s="117">
        <v>0</v>
      </c>
      <c r="AE49" s="117">
        <v>0</v>
      </c>
      <c r="AF49" s="117">
        <v>0</v>
      </c>
      <c r="AG49" s="117">
        <v>0</v>
      </c>
      <c r="AH49" s="117">
        <v>0</v>
      </c>
      <c r="AI49" s="117">
        <v>0</v>
      </c>
      <c r="AJ49" s="117">
        <v>0</v>
      </c>
      <c r="AK49" s="117">
        <v>0</v>
      </c>
      <c r="AL49" s="117">
        <v>0</v>
      </c>
      <c r="AM49" s="117">
        <v>0</v>
      </c>
      <c r="AN49" s="117">
        <v>0</v>
      </c>
      <c r="AO49" s="117">
        <v>0</v>
      </c>
      <c r="AP49" s="117">
        <v>0</v>
      </c>
      <c r="AQ49" s="117">
        <v>0</v>
      </c>
      <c r="AR49" s="117">
        <v>0</v>
      </c>
      <c r="AS49" s="117">
        <v>0</v>
      </c>
      <c r="AT49" s="118">
        <v>0</v>
      </c>
    </row>
  </sheetData>
  <mergeCells count="7">
    <mergeCell ref="L1:AT1"/>
    <mergeCell ref="L2:S2"/>
    <mergeCell ref="T2:Z2"/>
    <mergeCell ref="AB2:AD2"/>
    <mergeCell ref="AE2:AH2"/>
    <mergeCell ref="AI2:AM2"/>
    <mergeCell ref="AO2:AS2"/>
  </mergeCells>
  <phoneticPr fontId="10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3CFD-6FF8-4F46-A861-FACC747B71D7}">
  <dimension ref="A1:AD49"/>
  <sheetViews>
    <sheetView showGridLines="0" workbookViewId="0">
      <selection sqref="A1:W49"/>
    </sheetView>
  </sheetViews>
  <sheetFormatPr defaultRowHeight="11.25" customHeight="1" x14ac:dyDescent="0.3"/>
  <cols>
    <col min="1" max="1" width="9" style="9" bestFit="1" customWidth="1"/>
    <col min="2" max="2" width="19.441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8" width="7.109375" style="9" bestFit="1" customWidth="1"/>
    <col min="9" max="20" width="6.33203125" style="9" bestFit="1" customWidth="1"/>
    <col min="21" max="21" width="13" style="9" bestFit="1" customWidth="1"/>
    <col min="22" max="16384" width="8.88671875" style="9"/>
  </cols>
  <sheetData>
    <row r="1" spans="1:30" ht="11.25" customHeight="1" x14ac:dyDescent="0.3">
      <c r="A1" s="10" t="s">
        <v>58</v>
      </c>
      <c r="B1" s="10" t="s">
        <v>59</v>
      </c>
      <c r="C1" s="10" t="s">
        <v>60</v>
      </c>
      <c r="D1" s="10" t="s">
        <v>61</v>
      </c>
      <c r="E1" s="10" t="s">
        <v>62</v>
      </c>
      <c r="F1" s="10" t="s">
        <v>63</v>
      </c>
      <c r="G1" s="10" t="s">
        <v>64</v>
      </c>
      <c r="H1" s="10" t="s">
        <v>65</v>
      </c>
      <c r="I1" s="11">
        <v>44440</v>
      </c>
      <c r="J1" s="11">
        <v>44470</v>
      </c>
      <c r="K1" s="11">
        <v>44501</v>
      </c>
      <c r="L1" s="11">
        <v>44531</v>
      </c>
      <c r="M1" s="11">
        <v>44562</v>
      </c>
      <c r="N1" s="11">
        <v>44593</v>
      </c>
      <c r="O1" s="11">
        <v>44621</v>
      </c>
      <c r="P1" s="11">
        <v>44652</v>
      </c>
      <c r="Q1" s="11">
        <v>44682</v>
      </c>
      <c r="R1" s="11">
        <v>44713</v>
      </c>
      <c r="S1" s="11">
        <v>44743</v>
      </c>
      <c r="T1" s="11">
        <v>44774</v>
      </c>
      <c r="U1" s="10" t="s">
        <v>66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3">
      <c r="A2" s="76" t="s">
        <v>33</v>
      </c>
      <c r="B2" s="76" t="s">
        <v>34</v>
      </c>
      <c r="C2" s="76" t="s">
        <v>25</v>
      </c>
      <c r="D2" s="76" t="s">
        <v>25</v>
      </c>
      <c r="E2" s="76" t="s">
        <v>25</v>
      </c>
      <c r="F2" s="76" t="s">
        <v>25</v>
      </c>
      <c r="G2" s="13" t="s">
        <v>72</v>
      </c>
      <c r="H2" s="13" t="s">
        <v>71</v>
      </c>
      <c r="I2" s="13">
        <f>SUMIF(Mercado_Receita!$S$2:$S$225,"44440A4AzulNão se aplicaNão se aplicaNão se aplicaNão se aplicaPonta",Mercado_Receita!$J$2:$J$225)+SUMIF(Mercado_Receita!$S$2:$S$225,"44440A4AzulNão se aplicaNão se aplicaAPENão se aplicaPonta",Mercado_Receita!$J$2:$J$225)</f>
        <v>580</v>
      </c>
      <c r="J2" s="13">
        <f>SUMIF(Mercado_Receita!$S$2:$S$225,"44470A4AzulNão se aplicaNão se aplicaNão se aplicaNão se aplicaPonta",Mercado_Receita!$J$2:$J$225)+SUMIF(Mercado_Receita!$S$2:$S$225,"44470A4AzulNão se aplicaNão se aplicaAPENão se aplicaPonta",Mercado_Receita!$J$2:$J$225)</f>
        <v>580</v>
      </c>
      <c r="K2" s="13">
        <f>SUMIF(Mercado_Receita!$S$2:$S$225,"44501A4AzulNão se aplicaNão se aplicaNão se aplicaNão se aplicaPonta",Mercado_Receita!$J$2:$J$225)+SUMIF(Mercado_Receita!$S$2:$S$225,"44501A4AzulNão se aplicaNão se aplicaAPENão se aplicaPonta",Mercado_Receita!$J$2:$J$225)</f>
        <v>605</v>
      </c>
      <c r="L2" s="13">
        <f>SUMIF(Mercado_Receita!$S$2:$S$225,"44531A4AzulNão se aplicaNão se aplicaNão se aplicaNão se aplicaPonta",Mercado_Receita!$J$2:$J$225)+SUMIF(Mercado_Receita!$S$2:$S$225,"44531A4AzulNão se aplicaNão se aplicaAPENão se aplicaPonta",Mercado_Receita!$J$2:$J$225)</f>
        <v>744</v>
      </c>
      <c r="M2" s="13">
        <f>SUMIF(Mercado_Receita!$S$2:$S$225,"44562A4AzulNão se aplicaNão se aplicaNão se aplicaNão se aplicaPonta",Mercado_Receita!$J$2:$J$225)+SUMIF(Mercado_Receita!$S$2:$S$225,"44562A4AzulNão se aplicaNão se aplicaAPENão se aplicaPonta",Mercado_Receita!$J$2:$J$225)</f>
        <v>715</v>
      </c>
      <c r="N2" s="13">
        <f>SUMIF(Mercado_Receita!$S$2:$S$225,"44593A4AzulNão se aplicaNão se aplicaNão se aplicaNão se aplicaPonta",Mercado_Receita!$J$2:$J$225)+SUMIF(Mercado_Receita!$S$2:$S$225,"44593A4AzulNão se aplicaNão se aplicaAPENão se aplicaPonta",Mercado_Receita!$J$2:$J$225)</f>
        <v>715</v>
      </c>
      <c r="O2" s="13">
        <f>SUMIF(Mercado_Receita!$S$2:$S$225,"44621A4AzulNão se aplicaNão se aplicaNão se aplicaNão se aplicaPonta",Mercado_Receita!$J$2:$J$225)+SUMIF(Mercado_Receita!$S$2:$S$225,"44621A4AzulNão se aplicaNão se aplicaAPENão se aplicaPonta",Mercado_Receita!$J$2:$J$225)</f>
        <v>715</v>
      </c>
      <c r="P2" s="13">
        <f>SUMIF(Mercado_Receita!$S$2:$S$225,"44652A4AzulNão se aplicaNão se aplicaNão se aplicaNão se aplicaPonta",Mercado_Receita!$J$2:$J$225)+SUMIF(Mercado_Receita!$S$2:$S$225,"44652A4AzulNão se aplicaNão se aplicaAPENão se aplicaPonta",Mercado_Receita!$J$2:$J$225)</f>
        <v>715</v>
      </c>
      <c r="Q2" s="13">
        <f>SUMIF(Mercado_Receita!$S$2:$S$225,"44682A4AzulNão se aplicaNão se aplicaNão se aplicaNão se aplicaPonta",Mercado_Receita!$J$2:$J$225)+SUMIF(Mercado_Receita!$S$2:$S$225,"44682A4AzulNão se aplicaNão se aplicaAPENão se aplicaPonta",Mercado_Receita!$J$2:$J$225)</f>
        <v>715</v>
      </c>
      <c r="R2" s="13">
        <f>SUMIF(Mercado_Receita!$S$2:$S$225,"44713A4AzulNão se aplicaNão se aplicaNão se aplicaNão se aplicaPonta",Mercado_Receita!$J$2:$J$225)+SUMIF(Mercado_Receita!$S$2:$S$225,"44713A4AzulNão se aplicaNão se aplicaAPENão se aplicaPonta",Mercado_Receita!$J$2:$J$225)</f>
        <v>715</v>
      </c>
      <c r="S2" s="13">
        <f>SUMIF(Mercado_Receita!$S$2:$S$225,"44743A4AzulNão se aplicaNão se aplicaNão se aplicaNão se aplicaPonta",Mercado_Receita!$J$2:$J$225)+SUMIF(Mercado_Receita!$S$2:$S$225,"44743A4AzulNão se aplicaNão se aplicaAPENão se aplicaPonta",Mercado_Receita!$J$2:$J$225)</f>
        <v>715</v>
      </c>
      <c r="T2" s="13">
        <f>SUMIF(Mercado_Receita!$S$2:$S$225,"44774A4AzulNão se aplicaNão se aplicaNão se aplicaNão se aplicaPonta",Mercado_Receita!$J$2:$J$225)+SUMIF(Mercado_Receita!$S$2:$S$225,"44774A4AzulNão se aplicaNão se aplicaAPENão se aplicaPonta",Mercado_Receita!$J$2:$J$225)</f>
        <v>715</v>
      </c>
      <c r="U2" s="13">
        <f t="shared" ref="U2:U48" si="0">SUM(I2:T2)</f>
        <v>8229</v>
      </c>
      <c r="V2" s="13"/>
      <c r="W2" s="13"/>
    </row>
    <row r="3" spans="1:30" ht="11.25" customHeight="1" x14ac:dyDescent="0.3">
      <c r="A3" s="77"/>
      <c r="B3" s="77"/>
      <c r="C3" s="77"/>
      <c r="D3" s="77"/>
      <c r="E3" s="77"/>
      <c r="F3" s="77"/>
      <c r="G3" s="13" t="s">
        <v>73</v>
      </c>
      <c r="H3" s="13" t="s">
        <v>71</v>
      </c>
      <c r="I3" s="13">
        <f>SUMIF(Mercado_Receita!$S$2:$S$225,"44440A4AzulNão se aplicaNão se aplicaNão se aplicaNão se aplicaFora ponta",Mercado_Receita!$J$2:$J$225)+SUMIF(Mercado_Receita!$S$2:$S$225,"44440A4AzulNão se aplicaNão se aplicaAPENão se aplicaFora ponta",Mercado_Receita!$J$2:$J$225)</f>
        <v>609</v>
      </c>
      <c r="J3" s="13">
        <f>SUMIF(Mercado_Receita!$S$2:$S$225,"44470A4AzulNão se aplicaNão se aplicaNão se aplicaNão se aplicaFora ponta",Mercado_Receita!$J$2:$J$225)+SUMIF(Mercado_Receita!$S$2:$S$225,"44470A4AzulNão se aplicaNão se aplicaAPENão se aplicaFora ponta",Mercado_Receita!$J$2:$J$225)</f>
        <v>627</v>
      </c>
      <c r="K3" s="13">
        <f>SUMIF(Mercado_Receita!$S$2:$S$225,"44501A4AzulNão se aplicaNão se aplicaNão se aplicaNão se aplicaFora ponta",Mercado_Receita!$J$2:$J$225)+SUMIF(Mercado_Receita!$S$2:$S$225,"44501A4AzulNão se aplicaNão se aplicaAPENão se aplicaFora ponta",Mercado_Receita!$J$2:$J$225)</f>
        <v>611</v>
      </c>
      <c r="L3" s="13">
        <f>SUMIF(Mercado_Receita!$S$2:$S$225,"44531A4AzulNão se aplicaNão se aplicaNão se aplicaNão se aplicaFora ponta",Mercado_Receita!$J$2:$J$225)+SUMIF(Mercado_Receita!$S$2:$S$225,"44531A4AzulNão se aplicaNão se aplicaAPENão se aplicaFora ponta",Mercado_Receita!$J$2:$J$225)</f>
        <v>749</v>
      </c>
      <c r="M3" s="13">
        <f>SUMIF(Mercado_Receita!$S$2:$S$225,"44562A4AzulNão se aplicaNão se aplicaNão se aplicaNão se aplicaFora ponta",Mercado_Receita!$J$2:$J$225)+SUMIF(Mercado_Receita!$S$2:$S$225,"44562A4AzulNão se aplicaNão se aplicaAPENão se aplicaFora ponta",Mercado_Receita!$J$2:$J$225)</f>
        <v>715</v>
      </c>
      <c r="N3" s="13">
        <f>SUMIF(Mercado_Receita!$S$2:$S$225,"44593A4AzulNão se aplicaNão se aplicaNão se aplicaNão se aplicaFora ponta",Mercado_Receita!$J$2:$J$225)+SUMIF(Mercado_Receita!$S$2:$S$225,"44593A4AzulNão se aplicaNão se aplicaAPENão se aplicaFora ponta",Mercado_Receita!$J$2:$J$225)</f>
        <v>715</v>
      </c>
      <c r="O3" s="13">
        <f>SUMIF(Mercado_Receita!$S$2:$S$225,"44621A4AzulNão se aplicaNão se aplicaNão se aplicaNão se aplicaFora ponta",Mercado_Receita!$J$2:$J$225)+SUMIF(Mercado_Receita!$S$2:$S$225,"44621A4AzulNão se aplicaNão se aplicaAPENão se aplicaFora ponta",Mercado_Receita!$J$2:$J$225)</f>
        <v>727</v>
      </c>
      <c r="P3" s="13">
        <f>SUMIF(Mercado_Receita!$S$2:$S$225,"44652A4AzulNão se aplicaNão se aplicaNão se aplicaNão se aplicaFora ponta",Mercado_Receita!$J$2:$J$225)+SUMIF(Mercado_Receita!$S$2:$S$225,"44652A4AzulNão se aplicaNão se aplicaAPENão se aplicaFora ponta",Mercado_Receita!$J$2:$J$225)</f>
        <v>715</v>
      </c>
      <c r="Q3" s="13">
        <f>SUMIF(Mercado_Receita!$S$2:$S$225,"44682A4AzulNão se aplicaNão se aplicaNão se aplicaNão se aplicaFora ponta",Mercado_Receita!$J$2:$J$225)+SUMIF(Mercado_Receita!$S$2:$S$225,"44682A4AzulNão se aplicaNão se aplicaAPENão se aplicaFora ponta",Mercado_Receita!$J$2:$J$225)</f>
        <v>715</v>
      </c>
      <c r="R3" s="13">
        <f>SUMIF(Mercado_Receita!$S$2:$S$225,"44713A4AzulNão se aplicaNão se aplicaNão se aplicaNão se aplicaFora ponta",Mercado_Receita!$J$2:$J$225)+SUMIF(Mercado_Receita!$S$2:$S$225,"44713A4AzulNão se aplicaNão se aplicaAPENão se aplicaFora ponta",Mercado_Receita!$J$2:$J$225)</f>
        <v>715</v>
      </c>
      <c r="S3" s="13">
        <f>SUMIF(Mercado_Receita!$S$2:$S$225,"44743A4AzulNão se aplicaNão se aplicaNão se aplicaNão se aplicaFora ponta",Mercado_Receita!$J$2:$J$225)+SUMIF(Mercado_Receita!$S$2:$S$225,"44743A4AzulNão se aplicaNão se aplicaAPENão se aplicaFora ponta",Mercado_Receita!$J$2:$J$225)</f>
        <v>715</v>
      </c>
      <c r="T3" s="13">
        <f>SUMIF(Mercado_Receita!$S$2:$S$225,"44774A4AzulNão se aplicaNão se aplicaNão se aplicaNão se aplicaFora ponta",Mercado_Receita!$J$2:$J$225)+SUMIF(Mercado_Receita!$S$2:$S$225,"44774A4AzulNão se aplicaNão se aplicaAPENão se aplicaFora ponta",Mercado_Receita!$J$2:$J$225)</f>
        <v>715</v>
      </c>
      <c r="U3" s="13">
        <f t="shared" si="0"/>
        <v>8328</v>
      </c>
      <c r="V3" s="13"/>
      <c r="W3" s="13"/>
    </row>
    <row r="4" spans="1:30" ht="11.25" customHeight="1" x14ac:dyDescent="0.3">
      <c r="A4" s="77"/>
      <c r="B4" s="77"/>
      <c r="C4" s="77"/>
      <c r="D4" s="77"/>
      <c r="E4" s="77"/>
      <c r="F4" s="77"/>
      <c r="G4" s="13" t="s">
        <v>74</v>
      </c>
      <c r="H4" s="13" t="s">
        <v>68</v>
      </c>
      <c r="I4" s="13">
        <f>SUMIF(Mercado_Receita!$S$2:$S$225,"44440A4AzulNão se aplicaNão se aplicaNão se aplicaNão se aplicaPonta",Mercado_Receita!$L$2:$L$225)+SUMIF(Mercado_Receita!$S$2:$S$225,"44440A4AzulNão se aplicaNão se aplicaNão se aplicaNão se aplicaFora ponta",Mercado_Receita!$L$2:$L$225)+SUMIF(Mercado_Receita!$S$2:$S$225,"44440A4AzulNão se aplicaNão se aplicaNão se aplicaNão se aplicaIntermediário",Mercado_Receita!$L$2:$L$225)+SUMIF(Mercado_Receita!$S$2:$S$225,"44440A4AzulNão se aplicaNão se aplicaNão se aplicaNão se aplicaNão se aplica",Mercado_Receita!$L$2:$L$225)</f>
        <v>230.054</v>
      </c>
      <c r="J4" s="13">
        <f>SUMIF(Mercado_Receita!$S$2:$S$225,"44470A4AzulNão se aplicaNão se aplicaNão se aplicaNão se aplicaPonta",Mercado_Receita!$L$2:$L$225)+SUMIF(Mercado_Receita!$S$2:$S$225,"44470A4AzulNão se aplicaNão se aplicaNão se aplicaNão se aplicaFora ponta",Mercado_Receita!$L$2:$L$225)+SUMIF(Mercado_Receita!$S$2:$S$225,"44470A4AzulNão se aplicaNão se aplicaNão se aplicaNão se aplicaIntermediário",Mercado_Receita!$L$2:$L$225)+SUMIF(Mercado_Receita!$S$2:$S$225,"44470A4AzulNão se aplicaNão se aplicaNão se aplicaNão se aplicaNão se aplica",Mercado_Receita!$L$2:$L$225)</f>
        <v>224.32499999999999</v>
      </c>
      <c r="K4" s="13">
        <f>SUMIF(Mercado_Receita!$S$2:$S$225,"44501A4AzulNão se aplicaNão se aplicaNão se aplicaNão se aplicaPonta",Mercado_Receita!$L$2:$L$225)+SUMIF(Mercado_Receita!$S$2:$S$225,"44501A4AzulNão se aplicaNão se aplicaNão se aplicaNão se aplicaFora ponta",Mercado_Receita!$L$2:$L$225)+SUMIF(Mercado_Receita!$S$2:$S$225,"44501A4AzulNão se aplicaNão se aplicaNão se aplicaNão se aplicaIntermediário",Mercado_Receita!$L$2:$L$225)+SUMIF(Mercado_Receita!$S$2:$S$225,"44501A4AzulNão se aplicaNão se aplicaNão se aplicaNão se aplicaNão se aplica",Mercado_Receita!$L$2:$L$225)</f>
        <v>229.54399999999998</v>
      </c>
      <c r="L4" s="13">
        <f>SUMIF(Mercado_Receita!$S$2:$S$225,"44531A4AzulNão se aplicaNão se aplicaNão se aplicaNão se aplicaPonta",Mercado_Receita!$L$2:$L$225)+SUMIF(Mercado_Receita!$S$2:$S$225,"44531A4AzulNão se aplicaNão se aplicaNão se aplicaNão se aplicaFora ponta",Mercado_Receita!$L$2:$L$225)+SUMIF(Mercado_Receita!$S$2:$S$225,"44531A4AzulNão se aplicaNão se aplicaNão se aplicaNão se aplicaIntermediário",Mercado_Receita!$L$2:$L$225)+SUMIF(Mercado_Receita!$S$2:$S$225,"44531A4AzulNão se aplicaNão se aplicaNão se aplicaNão se aplicaNão se aplica",Mercado_Receita!$L$2:$L$225)</f>
        <v>262.96300000000002</v>
      </c>
      <c r="M4" s="13">
        <f>SUMIF(Mercado_Receita!$S$2:$S$225,"44562A4AzulNão se aplicaNão se aplicaNão se aplicaNão se aplicaPonta",Mercado_Receita!$L$2:$L$225)+SUMIF(Mercado_Receita!$S$2:$S$225,"44562A4AzulNão se aplicaNão se aplicaNão se aplicaNão se aplicaFora ponta",Mercado_Receita!$L$2:$L$225)+SUMIF(Mercado_Receita!$S$2:$S$225,"44562A4AzulNão se aplicaNão se aplicaNão se aplicaNão se aplicaIntermediário",Mercado_Receita!$L$2:$L$225)+SUMIF(Mercado_Receita!$S$2:$S$225,"44562A4AzulNão se aplicaNão se aplicaNão se aplicaNão se aplicaNão se aplica",Mercado_Receita!$L$2:$L$225)</f>
        <v>269.14600000000002</v>
      </c>
      <c r="N4" s="13">
        <f>SUMIF(Mercado_Receita!$S$2:$S$225,"44593A4AzulNão se aplicaNão se aplicaNão se aplicaNão se aplicaPonta",Mercado_Receita!$L$2:$L$225)+SUMIF(Mercado_Receita!$S$2:$S$225,"44593A4AzulNão se aplicaNão se aplicaNão se aplicaNão se aplicaFora ponta",Mercado_Receita!$L$2:$L$225)+SUMIF(Mercado_Receita!$S$2:$S$225,"44593A4AzulNão se aplicaNão se aplicaNão se aplicaNão se aplicaIntermediário",Mercado_Receita!$L$2:$L$225)+SUMIF(Mercado_Receita!$S$2:$S$225,"44593A4AzulNão se aplicaNão se aplicaNão se aplicaNão se aplicaNão se aplica",Mercado_Receita!$L$2:$L$225)</f>
        <v>206.43199999999999</v>
      </c>
      <c r="O4" s="13">
        <f>SUMIF(Mercado_Receita!$S$2:$S$225,"44621A4AzulNão se aplicaNão se aplicaNão se aplicaNão se aplicaPonta",Mercado_Receita!$L$2:$L$225)+SUMIF(Mercado_Receita!$S$2:$S$225,"44621A4AzulNão se aplicaNão se aplicaNão se aplicaNão se aplicaFora ponta",Mercado_Receita!$L$2:$L$225)+SUMIF(Mercado_Receita!$S$2:$S$225,"44621A4AzulNão se aplicaNão se aplicaNão se aplicaNão se aplicaIntermediário",Mercado_Receita!$L$2:$L$225)+SUMIF(Mercado_Receita!$S$2:$S$225,"44621A4AzulNão se aplicaNão se aplicaNão se aplicaNão se aplicaNão se aplica",Mercado_Receita!$L$2:$L$225)</f>
        <v>285.53399999999999</v>
      </c>
      <c r="P4" s="13">
        <f>SUMIF(Mercado_Receita!$S$2:$S$225,"44652A4AzulNão se aplicaNão se aplicaNão se aplicaNão se aplicaPonta",Mercado_Receita!$L$2:$L$225)+SUMIF(Mercado_Receita!$S$2:$S$225,"44652A4AzulNão se aplicaNão se aplicaNão se aplicaNão se aplicaFora ponta",Mercado_Receita!$L$2:$L$225)+SUMIF(Mercado_Receita!$S$2:$S$225,"44652A4AzulNão se aplicaNão se aplicaNão se aplicaNão se aplicaIntermediário",Mercado_Receita!$L$2:$L$225)+SUMIF(Mercado_Receita!$S$2:$S$225,"44652A4AzulNão se aplicaNão se aplicaNão se aplicaNão se aplicaNão se aplica",Mercado_Receita!$L$2:$L$225)</f>
        <v>260.43400000000003</v>
      </c>
      <c r="Q4" s="13">
        <f>SUMIF(Mercado_Receita!$S$2:$S$225,"44682A4AzulNão se aplicaNão se aplicaNão se aplicaNão se aplicaPonta",Mercado_Receita!$L$2:$L$225)+SUMIF(Mercado_Receita!$S$2:$S$225,"44682A4AzulNão se aplicaNão se aplicaNão se aplicaNão se aplicaFora ponta",Mercado_Receita!$L$2:$L$225)+SUMIF(Mercado_Receita!$S$2:$S$225,"44682A4AzulNão se aplicaNão se aplicaNão se aplicaNão se aplicaIntermediário",Mercado_Receita!$L$2:$L$225)+SUMIF(Mercado_Receita!$S$2:$S$225,"44682A4AzulNão se aplicaNão se aplicaNão se aplicaNão se aplicaNão se aplica",Mercado_Receita!$L$2:$L$225)</f>
        <v>274.51499999999999</v>
      </c>
      <c r="R4" s="13">
        <f>SUMIF(Mercado_Receita!$S$2:$S$225,"44713A4AzulNão se aplicaNão se aplicaNão se aplicaNão se aplicaPonta",Mercado_Receita!$L$2:$L$225)+SUMIF(Mercado_Receita!$S$2:$S$225,"44713A4AzulNão se aplicaNão se aplicaNão se aplicaNão se aplicaFora ponta",Mercado_Receita!$L$2:$L$225)+SUMIF(Mercado_Receita!$S$2:$S$225,"44713A4AzulNão se aplicaNão se aplicaNão se aplicaNão se aplicaIntermediário",Mercado_Receita!$L$2:$L$225)+SUMIF(Mercado_Receita!$S$2:$S$225,"44713A4AzulNão se aplicaNão se aplicaNão se aplicaNão se aplicaNão se aplica",Mercado_Receita!$L$2:$L$225)</f>
        <v>254.10199999999998</v>
      </c>
      <c r="S4" s="13">
        <f>SUMIF(Mercado_Receita!$S$2:$S$225,"44743A4AzulNão se aplicaNão se aplicaNão se aplicaNão se aplicaPonta",Mercado_Receita!$L$2:$L$225)+SUMIF(Mercado_Receita!$S$2:$S$225,"44743A4AzulNão se aplicaNão se aplicaNão se aplicaNão se aplicaFora ponta",Mercado_Receita!$L$2:$L$225)+SUMIF(Mercado_Receita!$S$2:$S$225,"44743A4AzulNão se aplicaNão se aplicaNão se aplicaNão se aplicaIntermediário",Mercado_Receita!$L$2:$L$225)+SUMIF(Mercado_Receita!$S$2:$S$225,"44743A4AzulNão se aplicaNão se aplicaNão se aplicaNão se aplicaNão se aplica",Mercado_Receita!$L$2:$L$225)</f>
        <v>250.09899999999999</v>
      </c>
      <c r="T4" s="13">
        <f>SUMIF(Mercado_Receita!$S$2:$S$225,"44774A4AzulNão se aplicaNão se aplicaNão se aplicaNão se aplicaPonta",Mercado_Receita!$L$2:$L$225)+SUMIF(Mercado_Receita!$S$2:$S$225,"44774A4AzulNão se aplicaNão se aplicaNão se aplicaNão se aplicaFora ponta",Mercado_Receita!$L$2:$L$225)+SUMIF(Mercado_Receita!$S$2:$S$225,"44774A4AzulNão se aplicaNão se aplicaNão se aplicaNão se aplicaIntermediário",Mercado_Receita!$L$2:$L$225)+SUMIF(Mercado_Receita!$S$2:$S$225,"44774A4AzulNão se aplicaNão se aplicaNão se aplicaNão se aplicaNão se aplica",Mercado_Receita!$L$2:$L$225)</f>
        <v>246.62799999999999</v>
      </c>
      <c r="U4" s="13">
        <f t="shared" si="0"/>
        <v>2993.7760000000003</v>
      </c>
      <c r="V4" s="13"/>
      <c r="W4" s="13"/>
    </row>
    <row r="5" spans="1:30" ht="11.25" customHeight="1" x14ac:dyDescent="0.3">
      <c r="A5" s="77"/>
      <c r="B5" s="77"/>
      <c r="C5" s="77"/>
      <c r="D5" s="77"/>
      <c r="E5" s="12" t="s">
        <v>75</v>
      </c>
      <c r="F5" s="12" t="s">
        <v>25</v>
      </c>
      <c r="G5" s="13" t="s">
        <v>74</v>
      </c>
      <c r="H5" s="13" t="s">
        <v>68</v>
      </c>
      <c r="I5" s="13">
        <f>SUMIF(Mercado_Receita!$S$2:$S$225,"44440A4AzulNão se aplicaNão se aplicaAPENão se aplicaPonta",Mercado_Receita!$L$2:$L$225)+SUMIF(Mercado_Receita!$S$2:$S$225,"44440A4AzulNão se aplicaNão se aplicaAPENão se aplicaFora ponta",Mercado_Receita!$L$2:$L$225)+SUMIF(Mercado_Receita!$S$2:$S$225,"44440A4AzulNão se aplicaNão se aplicaAPENão se aplicaIntermediário",Mercado_Receita!$L$2:$L$225)+SUMIF(Mercado_Receita!$S$2:$S$225,"44440A4AzulNão se aplicaNão se aplicaAPENão se aplicaNão se aplica",Mercado_Receita!$L$2:$L$225)</f>
        <v>0</v>
      </c>
      <c r="J5" s="13">
        <f>SUMIF(Mercado_Receita!$S$2:$S$225,"44470A4AzulNão se aplicaNão se aplicaAPENão se aplicaPonta",Mercado_Receita!$L$2:$L$225)+SUMIF(Mercado_Receita!$S$2:$S$225,"44470A4AzulNão se aplicaNão se aplicaAPENão se aplicaFora ponta",Mercado_Receita!$L$2:$L$225)+SUMIF(Mercado_Receita!$S$2:$S$225,"44470A4AzulNão se aplicaNão se aplicaAPENão se aplicaIntermediário",Mercado_Receita!$L$2:$L$225)+SUMIF(Mercado_Receita!$S$2:$S$225,"44470A4AzulNão se aplicaNão se aplicaAPENão se aplicaNão se aplica",Mercado_Receita!$L$2:$L$225)</f>
        <v>0</v>
      </c>
      <c r="K5" s="13">
        <f>SUMIF(Mercado_Receita!$S$2:$S$225,"44501A4AzulNão se aplicaNão se aplicaAPENão se aplicaPonta",Mercado_Receita!$L$2:$L$225)+SUMIF(Mercado_Receita!$S$2:$S$225,"44501A4AzulNão se aplicaNão se aplicaAPENão se aplicaFora ponta",Mercado_Receita!$L$2:$L$225)+SUMIF(Mercado_Receita!$S$2:$S$225,"44501A4AzulNão se aplicaNão se aplicaAPENão se aplicaIntermediário",Mercado_Receita!$L$2:$L$225)+SUMIF(Mercado_Receita!$S$2:$S$225,"44501A4AzulNão se aplicaNão se aplicaAPENão se aplicaNão se aplica",Mercado_Receita!$L$2:$L$225)</f>
        <v>0</v>
      </c>
      <c r="L5" s="13">
        <f>SUMIF(Mercado_Receita!$S$2:$S$225,"44531A4AzulNão se aplicaNão se aplicaAPENão se aplicaPonta",Mercado_Receita!$L$2:$L$225)+SUMIF(Mercado_Receita!$S$2:$S$225,"44531A4AzulNão se aplicaNão se aplicaAPENão se aplicaFora ponta",Mercado_Receita!$L$2:$L$225)+SUMIF(Mercado_Receita!$S$2:$S$225,"44531A4AzulNão se aplicaNão se aplicaAPENão se aplicaIntermediário",Mercado_Receita!$L$2:$L$225)+SUMIF(Mercado_Receita!$S$2:$S$225,"44531A4AzulNão se aplicaNão se aplicaAPENão se aplicaNão se aplica",Mercado_Receita!$L$2:$L$225)</f>
        <v>0</v>
      </c>
      <c r="M5" s="13">
        <f>SUMIF(Mercado_Receita!$S$2:$S$225,"44562A4AzulNão se aplicaNão se aplicaAPENão se aplicaPonta",Mercado_Receita!$L$2:$L$225)+SUMIF(Mercado_Receita!$S$2:$S$225,"44562A4AzulNão se aplicaNão se aplicaAPENão se aplicaFora ponta",Mercado_Receita!$L$2:$L$225)+SUMIF(Mercado_Receita!$S$2:$S$225,"44562A4AzulNão se aplicaNão se aplicaAPENão se aplicaIntermediário",Mercado_Receita!$L$2:$L$225)+SUMIF(Mercado_Receita!$S$2:$S$225,"44562A4AzulNão se aplicaNão se aplicaAPENão se aplicaNão se aplica",Mercado_Receita!$L$2:$L$225)</f>
        <v>0</v>
      </c>
      <c r="N5" s="13">
        <f>SUMIF(Mercado_Receita!$S$2:$S$225,"44593A4AzulNão se aplicaNão se aplicaAPENão se aplicaPonta",Mercado_Receita!$L$2:$L$225)+SUMIF(Mercado_Receita!$S$2:$S$225,"44593A4AzulNão se aplicaNão se aplicaAPENão se aplicaFora ponta",Mercado_Receita!$L$2:$L$225)+SUMIF(Mercado_Receita!$S$2:$S$225,"44593A4AzulNão se aplicaNão se aplicaAPENão se aplicaIntermediário",Mercado_Receita!$L$2:$L$225)+SUMIF(Mercado_Receita!$S$2:$S$225,"44593A4AzulNão se aplicaNão se aplicaAPENão se aplicaNão se aplica",Mercado_Receita!$L$2:$L$225)</f>
        <v>0</v>
      </c>
      <c r="O5" s="13">
        <f>SUMIF(Mercado_Receita!$S$2:$S$225,"44621A4AzulNão se aplicaNão se aplicaAPENão se aplicaPonta",Mercado_Receita!$L$2:$L$225)+SUMIF(Mercado_Receita!$S$2:$S$225,"44621A4AzulNão se aplicaNão se aplicaAPENão se aplicaFora ponta",Mercado_Receita!$L$2:$L$225)+SUMIF(Mercado_Receita!$S$2:$S$225,"44621A4AzulNão se aplicaNão se aplicaAPENão se aplicaIntermediário",Mercado_Receita!$L$2:$L$225)+SUMIF(Mercado_Receita!$S$2:$S$225,"44621A4AzulNão se aplicaNão se aplicaAPENão se aplicaNão se aplica",Mercado_Receita!$L$2:$L$225)</f>
        <v>0</v>
      </c>
      <c r="P5" s="13">
        <f>SUMIF(Mercado_Receita!$S$2:$S$225,"44652A4AzulNão se aplicaNão se aplicaAPENão se aplicaPonta",Mercado_Receita!$L$2:$L$225)+SUMIF(Mercado_Receita!$S$2:$S$225,"44652A4AzulNão se aplicaNão se aplicaAPENão se aplicaFora ponta",Mercado_Receita!$L$2:$L$225)+SUMIF(Mercado_Receita!$S$2:$S$225,"44652A4AzulNão se aplicaNão se aplicaAPENão se aplicaIntermediário",Mercado_Receita!$L$2:$L$225)+SUMIF(Mercado_Receita!$S$2:$S$225,"44652A4AzulNão se aplicaNão se aplicaAPENão se aplicaNão se aplica",Mercado_Receita!$L$2:$L$225)</f>
        <v>0</v>
      </c>
      <c r="Q5" s="13">
        <f>SUMIF(Mercado_Receita!$S$2:$S$225,"44682A4AzulNão se aplicaNão se aplicaAPENão se aplicaPonta",Mercado_Receita!$L$2:$L$225)+SUMIF(Mercado_Receita!$S$2:$S$225,"44682A4AzulNão se aplicaNão se aplicaAPENão se aplicaFora ponta",Mercado_Receita!$L$2:$L$225)+SUMIF(Mercado_Receita!$S$2:$S$225,"44682A4AzulNão se aplicaNão se aplicaAPENão se aplicaIntermediário",Mercado_Receita!$L$2:$L$225)+SUMIF(Mercado_Receita!$S$2:$S$225,"44682A4AzulNão se aplicaNão se aplicaAPENão se aplicaNão se aplica",Mercado_Receita!$L$2:$L$225)</f>
        <v>0</v>
      </c>
      <c r="R5" s="13">
        <f>SUMIF(Mercado_Receita!$S$2:$S$225,"44713A4AzulNão se aplicaNão se aplicaAPENão se aplicaPonta",Mercado_Receita!$L$2:$L$225)+SUMIF(Mercado_Receita!$S$2:$S$225,"44713A4AzulNão se aplicaNão se aplicaAPENão se aplicaFora ponta",Mercado_Receita!$L$2:$L$225)+SUMIF(Mercado_Receita!$S$2:$S$225,"44713A4AzulNão se aplicaNão se aplicaAPENão se aplicaIntermediário",Mercado_Receita!$L$2:$L$225)+SUMIF(Mercado_Receita!$S$2:$S$225,"44713A4AzulNão se aplicaNão se aplicaAPENão se aplicaNão se aplica",Mercado_Receita!$L$2:$L$225)</f>
        <v>0</v>
      </c>
      <c r="S5" s="13">
        <f>SUMIF(Mercado_Receita!$S$2:$S$225,"44743A4AzulNão se aplicaNão se aplicaAPENão se aplicaPonta",Mercado_Receita!$L$2:$L$225)+SUMIF(Mercado_Receita!$S$2:$S$225,"44743A4AzulNão se aplicaNão se aplicaAPENão se aplicaFora ponta",Mercado_Receita!$L$2:$L$225)+SUMIF(Mercado_Receita!$S$2:$S$225,"44743A4AzulNão se aplicaNão se aplicaAPENão se aplicaIntermediário",Mercado_Receita!$L$2:$L$225)+SUMIF(Mercado_Receita!$S$2:$S$225,"44743A4AzulNão se aplicaNão se aplicaAPENão se aplicaNão se aplica",Mercado_Receita!$L$2:$L$225)</f>
        <v>0</v>
      </c>
      <c r="T5" s="13">
        <f>SUMIF(Mercado_Receita!$S$2:$S$225,"44774A4AzulNão se aplicaNão se aplicaAPENão se aplicaPonta",Mercado_Receita!$L$2:$L$225)+SUMIF(Mercado_Receita!$S$2:$S$225,"44774A4AzulNão se aplicaNão se aplicaAPENão se aplicaFora ponta",Mercado_Receita!$L$2:$L$225)+SUMIF(Mercado_Receita!$S$2:$S$225,"44774A4AzulNão se aplicaNão se aplicaAPENão se aplicaIntermediário",Mercado_Receita!$L$2:$L$225)+SUMIF(Mercado_Receita!$S$2:$S$225,"44774A4AzulNão se aplicaNão se aplicaAPENão se aplicaNão se aplica",Mercado_Receita!$L$2:$L$225)</f>
        <v>0</v>
      </c>
      <c r="U5" s="13">
        <f t="shared" si="0"/>
        <v>0</v>
      </c>
      <c r="V5" s="13"/>
      <c r="W5" s="13"/>
    </row>
    <row r="6" spans="1:30" ht="11.25" customHeight="1" x14ac:dyDescent="0.3">
      <c r="A6" s="77"/>
      <c r="B6" s="12" t="s">
        <v>76</v>
      </c>
      <c r="C6" s="12" t="s">
        <v>25</v>
      </c>
      <c r="D6" s="12" t="s">
        <v>25</v>
      </c>
      <c r="E6" s="12" t="s">
        <v>25</v>
      </c>
      <c r="F6" s="12" t="s">
        <v>25</v>
      </c>
      <c r="G6" s="13" t="s">
        <v>9</v>
      </c>
      <c r="H6" s="13" t="s">
        <v>71</v>
      </c>
      <c r="I6" s="13">
        <f>SUMIF(Mercado_Receita!$S$2:$S$225,"44440A4GeraçãoNão se aplicaNão se aplicaNão se aplicaNão se aplicaNão se aplica",Mercado_Receita!$J$2:$J$225)+SUMIF(Mercado_Receita!$S$2:$S$225,"44440A4GeraçãoNão se aplicaNão se aplicaAPENão se aplicaNão se aplica",Mercado_Receita!$J$2:$J$225)</f>
        <v>0</v>
      </c>
      <c r="J6" s="13">
        <f>SUMIF(Mercado_Receita!$S$2:$S$225,"44470A4GeraçãoNão se aplicaNão se aplicaNão se aplicaNão se aplicaNão se aplica",Mercado_Receita!$J$2:$J$225)+SUMIF(Mercado_Receita!$S$2:$S$225,"44470A4GeraçãoNão se aplicaNão se aplicaAPENão se aplicaNão se aplica",Mercado_Receita!$J$2:$J$225)</f>
        <v>0</v>
      </c>
      <c r="K6" s="13">
        <f>SUMIF(Mercado_Receita!$S$2:$S$225,"44501A4GeraçãoNão se aplicaNão se aplicaNão se aplicaNão se aplicaNão se aplica",Mercado_Receita!$J$2:$J$225)+SUMIF(Mercado_Receita!$S$2:$S$225,"44501A4GeraçãoNão se aplicaNão se aplicaAPENão se aplicaNão se aplica",Mercado_Receita!$J$2:$J$225)</f>
        <v>0</v>
      </c>
      <c r="L6" s="13">
        <f>SUMIF(Mercado_Receita!$S$2:$S$225,"44531A4GeraçãoNão se aplicaNão se aplicaNão se aplicaNão se aplicaNão se aplica",Mercado_Receita!$J$2:$J$225)+SUMIF(Mercado_Receita!$S$2:$S$225,"44531A4GeraçãoNão se aplicaNão se aplicaAPENão se aplicaNão se aplica",Mercado_Receita!$J$2:$J$225)</f>
        <v>0</v>
      </c>
      <c r="M6" s="13">
        <f>SUMIF(Mercado_Receita!$S$2:$S$225,"44562A4GeraçãoNão se aplicaNão se aplicaNão se aplicaNão se aplicaNão se aplica",Mercado_Receita!$J$2:$J$225)+SUMIF(Mercado_Receita!$S$2:$S$225,"44562A4GeraçãoNão se aplicaNão se aplicaAPENão se aplicaNão se aplica",Mercado_Receita!$J$2:$J$225)</f>
        <v>0</v>
      </c>
      <c r="N6" s="13">
        <f>SUMIF(Mercado_Receita!$S$2:$S$225,"44593A4GeraçãoNão se aplicaNão se aplicaNão se aplicaNão se aplicaNão se aplica",Mercado_Receita!$J$2:$J$225)+SUMIF(Mercado_Receita!$S$2:$S$225,"44593A4GeraçãoNão se aplicaNão se aplicaAPENão se aplicaNão se aplica",Mercado_Receita!$J$2:$J$225)</f>
        <v>0</v>
      </c>
      <c r="O6" s="13">
        <f>SUMIF(Mercado_Receita!$S$2:$S$225,"44621A4GeraçãoNão se aplicaNão se aplicaNão se aplicaNão se aplicaNão se aplica",Mercado_Receita!$J$2:$J$225)+SUMIF(Mercado_Receita!$S$2:$S$225,"44621A4GeraçãoNão se aplicaNão se aplicaAPENão se aplicaNão se aplica",Mercado_Receita!$J$2:$J$225)</f>
        <v>0</v>
      </c>
      <c r="P6" s="13">
        <f>SUMIF(Mercado_Receita!$S$2:$S$225,"44652A4GeraçãoNão se aplicaNão se aplicaNão se aplicaNão se aplicaNão se aplica",Mercado_Receita!$J$2:$J$225)+SUMIF(Mercado_Receita!$S$2:$S$225,"44652A4GeraçãoNão se aplicaNão se aplicaAPENão se aplicaNão se aplica",Mercado_Receita!$J$2:$J$225)</f>
        <v>0</v>
      </c>
      <c r="Q6" s="13">
        <f>SUMIF(Mercado_Receita!$S$2:$S$225,"44682A4GeraçãoNão se aplicaNão se aplicaNão se aplicaNão se aplicaNão se aplica",Mercado_Receita!$J$2:$J$225)+SUMIF(Mercado_Receita!$S$2:$S$225,"44682A4GeraçãoNão se aplicaNão se aplicaAPENão se aplicaNão se aplica",Mercado_Receita!$J$2:$J$225)</f>
        <v>0</v>
      </c>
      <c r="R6" s="13">
        <f>SUMIF(Mercado_Receita!$S$2:$S$225,"44713A4GeraçãoNão se aplicaNão se aplicaNão se aplicaNão se aplicaNão se aplica",Mercado_Receita!$J$2:$J$225)+SUMIF(Mercado_Receita!$S$2:$S$225,"44713A4GeraçãoNão se aplicaNão se aplicaAPENão se aplicaNão se aplica",Mercado_Receita!$J$2:$J$225)</f>
        <v>0</v>
      </c>
      <c r="S6" s="13">
        <f>SUMIF(Mercado_Receita!$S$2:$S$225,"44743A4GeraçãoNão se aplicaNão se aplicaNão se aplicaNão se aplicaNão se aplica",Mercado_Receita!$J$2:$J$225)+SUMIF(Mercado_Receita!$S$2:$S$225,"44743A4GeraçãoNão se aplicaNão se aplicaAPENão se aplicaNão se aplica",Mercado_Receita!$J$2:$J$225)</f>
        <v>0</v>
      </c>
      <c r="T6" s="13">
        <f>SUMIF(Mercado_Receita!$S$2:$S$225,"44774A4GeraçãoNão se aplicaNão se aplicaNão se aplicaNão se aplicaNão se aplica",Mercado_Receita!$J$2:$J$225)+SUMIF(Mercado_Receita!$S$2:$S$225,"44774A4GeraçãoNão se aplicaNão se aplicaAPENão se aplicaNão se aplica",Mercado_Receita!$J$2:$J$225)</f>
        <v>0</v>
      </c>
      <c r="U6" s="13">
        <f t="shared" si="0"/>
        <v>0</v>
      </c>
      <c r="V6" s="13"/>
      <c r="W6" s="13"/>
    </row>
    <row r="7" spans="1:30" ht="11.25" customHeight="1" x14ac:dyDescent="0.3">
      <c r="A7" s="77"/>
      <c r="B7" s="76" t="s">
        <v>37</v>
      </c>
      <c r="C7" s="76" t="s">
        <v>25</v>
      </c>
      <c r="D7" s="76" t="s">
        <v>25</v>
      </c>
      <c r="E7" s="76" t="s">
        <v>25</v>
      </c>
      <c r="F7" s="76" t="s">
        <v>25</v>
      </c>
      <c r="G7" s="13" t="s">
        <v>9</v>
      </c>
      <c r="H7" s="13" t="s">
        <v>71</v>
      </c>
      <c r="I7" s="13">
        <f>SUMIF(Mercado_Receita!$S$2:$S$225,"44440A4VerdeNão se aplicaNão se aplicaNão se aplicaNão se aplicaNão se aplica",Mercado_Receita!$J$2:$J$225)+SUMIF(Mercado_Receita!$S$2:$S$225,"44440A4VerdeNão se aplicaNão se aplicaAPENão se aplicaNão se aplica",Mercado_Receita!$J$2:$J$225)</f>
        <v>3060</v>
      </c>
      <c r="J7" s="13">
        <f>SUMIF(Mercado_Receita!$S$2:$S$225,"44470A4VerdeNão se aplicaNão se aplicaNão se aplicaNão se aplicaNão se aplica",Mercado_Receita!$J$2:$J$225)+SUMIF(Mercado_Receita!$S$2:$S$225,"44470A4VerdeNão se aplicaNão se aplicaAPENão se aplicaNão se aplica",Mercado_Receita!$J$2:$J$225)</f>
        <v>3050</v>
      </c>
      <c r="K7" s="13">
        <f>SUMIF(Mercado_Receita!$S$2:$S$225,"44501A4VerdeNão se aplicaNão se aplicaNão se aplicaNão se aplicaNão se aplica",Mercado_Receita!$J$2:$J$225)+SUMIF(Mercado_Receita!$S$2:$S$225,"44501A4VerdeNão se aplicaNão se aplicaAPENão se aplicaNão se aplica",Mercado_Receita!$J$2:$J$225)</f>
        <v>3050</v>
      </c>
      <c r="L7" s="13">
        <f>SUMIF(Mercado_Receita!$S$2:$S$225,"44531A4VerdeNão se aplicaNão se aplicaNão se aplicaNão se aplicaNão se aplica",Mercado_Receita!$J$2:$J$225)+SUMIF(Mercado_Receita!$S$2:$S$225,"44531A4VerdeNão se aplicaNão se aplicaAPENão se aplicaNão se aplica",Mercado_Receita!$J$2:$J$225)</f>
        <v>3050</v>
      </c>
      <c r="M7" s="13">
        <f>SUMIF(Mercado_Receita!$S$2:$S$225,"44562A4VerdeNão se aplicaNão se aplicaNão se aplicaNão se aplicaNão se aplica",Mercado_Receita!$J$2:$J$225)+SUMIF(Mercado_Receita!$S$2:$S$225,"44562A4VerdeNão se aplicaNão se aplicaAPENão se aplicaNão se aplica",Mercado_Receita!$J$2:$J$225)</f>
        <v>3050</v>
      </c>
      <c r="N7" s="13">
        <f>SUMIF(Mercado_Receita!$S$2:$S$225,"44593A4VerdeNão se aplicaNão se aplicaNão se aplicaNão se aplicaNão se aplica",Mercado_Receita!$J$2:$J$225)+SUMIF(Mercado_Receita!$S$2:$S$225,"44593A4VerdeNão se aplicaNão se aplicaAPENão se aplicaNão se aplica",Mercado_Receita!$J$2:$J$225)</f>
        <v>3050</v>
      </c>
      <c r="O7" s="13">
        <f>SUMIF(Mercado_Receita!$S$2:$S$225,"44621A4VerdeNão se aplicaNão se aplicaNão se aplicaNão se aplicaNão se aplica",Mercado_Receita!$J$2:$J$225)+SUMIF(Mercado_Receita!$S$2:$S$225,"44621A4VerdeNão se aplicaNão se aplicaAPENão se aplicaNão se aplica",Mercado_Receita!$J$2:$J$225)</f>
        <v>3050</v>
      </c>
      <c r="P7" s="13">
        <f>SUMIF(Mercado_Receita!$S$2:$S$225,"44652A4VerdeNão se aplicaNão se aplicaNão se aplicaNão se aplicaNão se aplica",Mercado_Receita!$J$2:$J$225)+SUMIF(Mercado_Receita!$S$2:$S$225,"44652A4VerdeNão se aplicaNão se aplicaAPENão se aplicaNão se aplica",Mercado_Receita!$J$2:$J$225)</f>
        <v>3050</v>
      </c>
      <c r="Q7" s="13">
        <f>SUMIF(Mercado_Receita!$S$2:$S$225,"44682A4VerdeNão se aplicaNão se aplicaNão se aplicaNão se aplicaNão se aplica",Mercado_Receita!$J$2:$J$225)+SUMIF(Mercado_Receita!$S$2:$S$225,"44682A4VerdeNão se aplicaNão se aplicaAPENão se aplicaNão se aplica",Mercado_Receita!$J$2:$J$225)</f>
        <v>3050</v>
      </c>
      <c r="R7" s="13">
        <f>SUMIF(Mercado_Receita!$S$2:$S$225,"44713A4VerdeNão se aplicaNão se aplicaNão se aplicaNão se aplicaNão se aplica",Mercado_Receita!$J$2:$J$225)+SUMIF(Mercado_Receita!$S$2:$S$225,"44713A4VerdeNão se aplicaNão se aplicaAPENão se aplicaNão se aplica",Mercado_Receita!$J$2:$J$225)</f>
        <v>3050</v>
      </c>
      <c r="S7" s="13">
        <f>SUMIF(Mercado_Receita!$S$2:$S$225,"44743A4VerdeNão se aplicaNão se aplicaNão se aplicaNão se aplicaNão se aplica",Mercado_Receita!$J$2:$J$225)+SUMIF(Mercado_Receita!$S$2:$S$225,"44743A4VerdeNão se aplicaNão se aplicaAPENão se aplicaNão se aplica",Mercado_Receita!$J$2:$J$225)</f>
        <v>3056</v>
      </c>
      <c r="T7" s="13">
        <f>SUMIF(Mercado_Receita!$S$2:$S$225,"44774A4VerdeNão se aplicaNão se aplicaNão se aplicaNão se aplicaNão se aplica",Mercado_Receita!$J$2:$J$225)+SUMIF(Mercado_Receita!$S$2:$S$225,"44774A4VerdeNão se aplicaNão se aplicaAPENão se aplicaNão se aplica",Mercado_Receita!$J$2:$J$225)</f>
        <v>3050</v>
      </c>
      <c r="U7" s="13">
        <f t="shared" si="0"/>
        <v>36616</v>
      </c>
      <c r="V7" s="13"/>
      <c r="W7" s="13"/>
    </row>
    <row r="8" spans="1:30" ht="11.25" customHeight="1" x14ac:dyDescent="0.3">
      <c r="A8" s="77"/>
      <c r="B8" s="77"/>
      <c r="C8" s="77"/>
      <c r="D8" s="77"/>
      <c r="E8" s="77"/>
      <c r="F8" s="77"/>
      <c r="G8" s="13" t="s">
        <v>69</v>
      </c>
      <c r="H8" s="13" t="s">
        <v>68</v>
      </c>
      <c r="I8" s="13">
        <f>SUMIF(Mercado_Receita!$S$2:$S$225,"44440A4VerdeNão se aplicaNão se aplicaNão se aplicaNão se aplicaPonta",Mercado_Receita!$L$2:$L$225)</f>
        <v>43.52</v>
      </c>
      <c r="J8" s="13">
        <f>SUMIF(Mercado_Receita!$S$2:$S$225,"44470A4VerdeNão se aplicaNão se aplicaNão se aplicaNão se aplicaPonta",Mercado_Receita!$L$2:$L$225)</f>
        <v>42.656999999999996</v>
      </c>
      <c r="K8" s="13">
        <f>SUMIF(Mercado_Receita!$S$2:$S$225,"44501A4VerdeNão se aplicaNão se aplicaNão se aplicaNão se aplicaPonta",Mercado_Receita!$L$2:$L$225)</f>
        <v>44.64</v>
      </c>
      <c r="L8" s="13">
        <f>SUMIF(Mercado_Receita!$S$2:$S$225,"44531A4VerdeNão se aplicaNão se aplicaNão se aplicaNão se aplicaPonta",Mercado_Receita!$L$2:$L$225)</f>
        <v>47.222999999999999</v>
      </c>
      <c r="M8" s="13">
        <f>SUMIF(Mercado_Receita!$S$2:$S$225,"44562A4VerdeNão se aplicaNão se aplicaNão se aplicaNão se aplicaPonta",Mercado_Receita!$L$2:$L$225)</f>
        <v>44.844000000000001</v>
      </c>
      <c r="N8" s="13">
        <f>SUMIF(Mercado_Receita!$S$2:$S$225,"44593A4VerdeNão se aplicaNão se aplicaNão se aplicaNão se aplicaPonta",Mercado_Receita!$L$2:$L$225)</f>
        <v>43.325000000000003</v>
      </c>
      <c r="O8" s="13">
        <f>SUMIF(Mercado_Receita!$S$2:$S$225,"44621A4VerdeNão se aplicaNão se aplicaNão se aplicaNão se aplicaPonta",Mercado_Receita!$L$2:$L$225)</f>
        <v>49.451000000000001</v>
      </c>
      <c r="P8" s="13">
        <f>SUMIF(Mercado_Receita!$S$2:$S$225,"44652A4VerdeNão se aplicaNão se aplicaNão se aplicaNão se aplicaPonta",Mercado_Receita!$L$2:$L$225)</f>
        <v>44.747999999999998</v>
      </c>
      <c r="Q8" s="13">
        <f>SUMIF(Mercado_Receita!$S$2:$S$225,"44682A4VerdeNão se aplicaNão se aplicaNão se aplicaNão se aplicaPonta",Mercado_Receita!$L$2:$L$225)</f>
        <v>49.109000000000002</v>
      </c>
      <c r="R8" s="13">
        <f>SUMIF(Mercado_Receita!$S$2:$S$225,"44713A4VerdeNão se aplicaNão se aplicaNão se aplicaNão se aplicaPonta",Mercado_Receita!$L$2:$L$225)</f>
        <v>47.128</v>
      </c>
      <c r="S8" s="13">
        <f>SUMIF(Mercado_Receita!$S$2:$S$225,"44743A4VerdeNão se aplicaNão se aplicaNão se aplicaNão se aplicaPonta",Mercado_Receita!$L$2:$L$225)</f>
        <v>48.082000000000001</v>
      </c>
      <c r="T8" s="13">
        <f>SUMIF(Mercado_Receita!$S$2:$S$225,"44774A4VerdeNão se aplicaNão se aplicaNão se aplicaNão se aplicaPonta",Mercado_Receita!$L$2:$L$225)</f>
        <v>56.726999999999997</v>
      </c>
      <c r="U8" s="13">
        <f t="shared" si="0"/>
        <v>561.45399999999995</v>
      </c>
      <c r="V8" s="13"/>
      <c r="W8" s="13"/>
    </row>
    <row r="9" spans="1:30" ht="11.25" customHeight="1" x14ac:dyDescent="0.3">
      <c r="A9" s="77"/>
      <c r="B9" s="77"/>
      <c r="C9" s="77"/>
      <c r="D9" s="77"/>
      <c r="E9" s="77"/>
      <c r="F9" s="77"/>
      <c r="G9" s="13" t="s">
        <v>70</v>
      </c>
      <c r="H9" s="13" t="s">
        <v>68</v>
      </c>
      <c r="I9" s="13">
        <f>SUMIF(Mercado_Receita!$S$2:$S$225,"44440A4VerdeNão se aplicaNão se aplicaNão se aplicaNão se aplicaFora ponta",Mercado_Receita!$L$2:$L$225)</f>
        <v>609.14499999999998</v>
      </c>
      <c r="J9" s="13">
        <f>SUMIF(Mercado_Receita!$S$2:$S$225,"44470A4VerdeNão se aplicaNão se aplicaNão se aplicaNão se aplicaFora ponta",Mercado_Receita!$L$2:$L$225)</f>
        <v>625.97199999999998</v>
      </c>
      <c r="K9" s="13">
        <f>SUMIF(Mercado_Receita!$S$2:$S$225,"44501A4VerdeNão se aplicaNão se aplicaNão se aplicaNão se aplicaFora ponta",Mercado_Receita!$L$2:$L$225)</f>
        <v>651.49599999999998</v>
      </c>
      <c r="L9" s="13">
        <f>SUMIF(Mercado_Receita!$S$2:$S$225,"44531A4VerdeNão se aplicaNão se aplicaNão se aplicaNão se aplicaFora ponta",Mercado_Receita!$L$2:$L$225)</f>
        <v>619.91499999999996</v>
      </c>
      <c r="M9" s="13">
        <f>SUMIF(Mercado_Receita!$S$2:$S$225,"44562A4VerdeNão se aplicaNão se aplicaNão se aplicaNão se aplicaFora ponta",Mercado_Receita!$L$2:$L$225)</f>
        <v>635.73900000000003</v>
      </c>
      <c r="N9" s="13">
        <f>SUMIF(Mercado_Receita!$S$2:$S$225,"44593A4VerdeNão se aplicaNão se aplicaNão se aplicaNão se aplicaFora ponta",Mercado_Receita!$L$2:$L$225)</f>
        <v>546.24300000000005</v>
      </c>
      <c r="O9" s="13">
        <f>SUMIF(Mercado_Receita!$S$2:$S$225,"44621A4VerdeNão se aplicaNão se aplicaNão se aplicaNão se aplicaFora ponta",Mercado_Receita!$L$2:$L$225)</f>
        <v>658.04</v>
      </c>
      <c r="P9" s="13">
        <f>SUMIF(Mercado_Receita!$S$2:$S$225,"44652A4VerdeNão se aplicaNão se aplicaNão se aplicaNão se aplicaFora ponta",Mercado_Receita!$L$2:$L$225)</f>
        <v>640.12900000000002</v>
      </c>
      <c r="Q9" s="13">
        <f>SUMIF(Mercado_Receita!$S$2:$S$225,"44682A4VerdeNão se aplicaNão se aplicaNão se aplicaNão se aplicaFora ponta",Mercado_Receita!$L$2:$L$225)</f>
        <v>681.37400000000002</v>
      </c>
      <c r="R9" s="13">
        <f>SUMIF(Mercado_Receita!$S$2:$S$225,"44713A4VerdeNão se aplicaNão se aplicaNão se aplicaNão se aplicaFora ponta",Mercado_Receita!$L$2:$L$225)</f>
        <v>645.54300000000001</v>
      </c>
      <c r="S9" s="13">
        <f>SUMIF(Mercado_Receita!$S$2:$S$225,"44743A4VerdeNão se aplicaNão se aplicaNão se aplicaNão se aplicaFora ponta",Mercado_Receita!$L$2:$L$225)</f>
        <v>688.66</v>
      </c>
      <c r="T9" s="13">
        <f>SUMIF(Mercado_Receita!$S$2:$S$225,"44774A4VerdeNão se aplicaNão se aplicaNão se aplicaNão se aplicaFora ponta",Mercado_Receita!$L$2:$L$225)</f>
        <v>700.125</v>
      </c>
      <c r="U9" s="13">
        <f t="shared" si="0"/>
        <v>7702.3809999999985</v>
      </c>
      <c r="V9" s="13"/>
      <c r="W9" s="13"/>
    </row>
    <row r="10" spans="1:30" ht="11.25" customHeight="1" x14ac:dyDescent="0.3">
      <c r="A10" s="77"/>
      <c r="B10" s="77"/>
      <c r="C10" s="77"/>
      <c r="D10" s="77"/>
      <c r="E10" s="76" t="s">
        <v>75</v>
      </c>
      <c r="F10" s="76" t="s">
        <v>25</v>
      </c>
      <c r="G10" s="13" t="s">
        <v>69</v>
      </c>
      <c r="H10" s="13" t="s">
        <v>68</v>
      </c>
      <c r="I10" s="13">
        <f>SUMIF(Mercado_Receita!$S$2:$S$225,"44440A4VerdeNão se aplicaNão se aplicaAPENão se aplicaPonta",Mercado_Receita!$L$2:$L$225)</f>
        <v>0</v>
      </c>
      <c r="J10" s="13">
        <f>SUMIF(Mercado_Receita!$S$2:$S$225,"44470A4VerdeNão se aplicaNão se aplicaAPENão se aplicaPonta",Mercado_Receita!$L$2:$L$225)</f>
        <v>0</v>
      </c>
      <c r="K10" s="13">
        <f>SUMIF(Mercado_Receita!$S$2:$S$225,"44501A4VerdeNão se aplicaNão se aplicaAPENão se aplicaPonta",Mercado_Receita!$L$2:$L$225)</f>
        <v>0</v>
      </c>
      <c r="L10" s="13">
        <f>SUMIF(Mercado_Receita!$S$2:$S$225,"44531A4VerdeNão se aplicaNão se aplicaAPENão se aplicaPonta",Mercado_Receita!$L$2:$L$225)</f>
        <v>0</v>
      </c>
      <c r="M10" s="13">
        <f>SUMIF(Mercado_Receita!$S$2:$S$225,"44562A4VerdeNão se aplicaNão se aplicaAPENão se aplicaPonta",Mercado_Receita!$L$2:$L$225)</f>
        <v>0</v>
      </c>
      <c r="N10" s="13">
        <f>SUMIF(Mercado_Receita!$S$2:$S$225,"44593A4VerdeNão se aplicaNão se aplicaAPENão se aplicaPonta",Mercado_Receita!$L$2:$L$225)</f>
        <v>0</v>
      </c>
      <c r="O10" s="13">
        <f>SUMIF(Mercado_Receita!$S$2:$S$225,"44621A4VerdeNão se aplicaNão se aplicaAPENão se aplicaPonta",Mercado_Receita!$L$2:$L$225)</f>
        <v>0</v>
      </c>
      <c r="P10" s="13">
        <f>SUMIF(Mercado_Receita!$S$2:$S$225,"44652A4VerdeNão se aplicaNão se aplicaAPENão se aplicaPonta",Mercado_Receita!$L$2:$L$225)</f>
        <v>0</v>
      </c>
      <c r="Q10" s="13">
        <f>SUMIF(Mercado_Receita!$S$2:$S$225,"44682A4VerdeNão se aplicaNão se aplicaAPENão se aplicaPonta",Mercado_Receita!$L$2:$L$225)</f>
        <v>0</v>
      </c>
      <c r="R10" s="13">
        <f>SUMIF(Mercado_Receita!$S$2:$S$225,"44713A4VerdeNão se aplicaNão se aplicaAPENão se aplicaPonta",Mercado_Receita!$L$2:$L$225)</f>
        <v>0</v>
      </c>
      <c r="S10" s="13">
        <f>SUMIF(Mercado_Receita!$S$2:$S$225,"44743A4VerdeNão se aplicaNão se aplicaAPENão se aplicaPonta",Mercado_Receita!$L$2:$L$225)</f>
        <v>0</v>
      </c>
      <c r="T10" s="13">
        <f>SUMIF(Mercado_Receita!$S$2:$S$225,"44774A4VerdeNão se aplicaNão se aplicaAPENão se aplicaPonta",Mercado_Receita!$L$2:$L$225)</f>
        <v>0</v>
      </c>
      <c r="U10" s="13">
        <f t="shared" si="0"/>
        <v>0</v>
      </c>
      <c r="V10" s="13"/>
      <c r="W10" s="13"/>
    </row>
    <row r="11" spans="1:30" ht="11.25" customHeight="1" x14ac:dyDescent="0.3">
      <c r="A11" s="77"/>
      <c r="B11" s="77"/>
      <c r="C11" s="77"/>
      <c r="D11" s="77"/>
      <c r="E11" s="77"/>
      <c r="F11" s="77"/>
      <c r="G11" s="13" t="s">
        <v>70</v>
      </c>
      <c r="H11" s="13" t="s">
        <v>68</v>
      </c>
      <c r="I11" s="13">
        <f>SUMIF(Mercado_Receita!$S$2:$S$225,"44440A4VerdeNão se aplicaNão se aplicaAPENão se aplicaFora ponta",Mercado_Receita!$L$2:$L$225)</f>
        <v>0</v>
      </c>
      <c r="J11" s="13">
        <f>SUMIF(Mercado_Receita!$S$2:$S$225,"44470A4VerdeNão se aplicaNão se aplicaAPENão se aplicaFora ponta",Mercado_Receita!$L$2:$L$225)</f>
        <v>0</v>
      </c>
      <c r="K11" s="13">
        <f>SUMIF(Mercado_Receita!$S$2:$S$225,"44501A4VerdeNão se aplicaNão se aplicaAPENão se aplicaFora ponta",Mercado_Receita!$L$2:$L$225)</f>
        <v>0</v>
      </c>
      <c r="L11" s="13">
        <f>SUMIF(Mercado_Receita!$S$2:$S$225,"44531A4VerdeNão se aplicaNão se aplicaAPENão se aplicaFora ponta",Mercado_Receita!$L$2:$L$225)</f>
        <v>0</v>
      </c>
      <c r="M11" s="13">
        <f>SUMIF(Mercado_Receita!$S$2:$S$225,"44562A4VerdeNão se aplicaNão se aplicaAPENão se aplicaFora ponta",Mercado_Receita!$L$2:$L$225)</f>
        <v>0</v>
      </c>
      <c r="N11" s="13">
        <f>SUMIF(Mercado_Receita!$S$2:$S$225,"44593A4VerdeNão se aplicaNão se aplicaAPENão se aplicaFora ponta",Mercado_Receita!$L$2:$L$225)</f>
        <v>0</v>
      </c>
      <c r="O11" s="13">
        <f>SUMIF(Mercado_Receita!$S$2:$S$225,"44621A4VerdeNão se aplicaNão se aplicaAPENão se aplicaFora ponta",Mercado_Receita!$L$2:$L$225)</f>
        <v>0</v>
      </c>
      <c r="P11" s="13">
        <f>SUMIF(Mercado_Receita!$S$2:$S$225,"44652A4VerdeNão se aplicaNão se aplicaAPENão se aplicaFora ponta",Mercado_Receita!$L$2:$L$225)</f>
        <v>0</v>
      </c>
      <c r="Q11" s="13">
        <f>SUMIF(Mercado_Receita!$S$2:$S$225,"44682A4VerdeNão se aplicaNão se aplicaAPENão se aplicaFora ponta",Mercado_Receita!$L$2:$L$225)</f>
        <v>0</v>
      </c>
      <c r="R11" s="13">
        <f>SUMIF(Mercado_Receita!$S$2:$S$225,"44713A4VerdeNão se aplicaNão se aplicaAPENão se aplicaFora ponta",Mercado_Receita!$L$2:$L$225)</f>
        <v>0</v>
      </c>
      <c r="S11" s="13">
        <f>SUMIF(Mercado_Receita!$S$2:$S$225,"44743A4VerdeNão se aplicaNão se aplicaAPENão se aplicaFora ponta",Mercado_Receita!$L$2:$L$225)</f>
        <v>0</v>
      </c>
      <c r="T11" s="13">
        <f>SUMIF(Mercado_Receita!$S$2:$S$225,"44774A4VerdeNão se aplicaNão se aplicaAPENão se aplicaFora ponta",Mercado_Receita!$L$2:$L$225)</f>
        <v>0</v>
      </c>
      <c r="U11" s="13">
        <f t="shared" si="0"/>
        <v>0</v>
      </c>
      <c r="V11" s="13"/>
      <c r="W11" s="13"/>
    </row>
    <row r="12" spans="1:30" ht="11.25" customHeight="1" x14ac:dyDescent="0.3">
      <c r="A12" s="76" t="s">
        <v>77</v>
      </c>
      <c r="B12" s="76" t="s">
        <v>76</v>
      </c>
      <c r="C12" s="76" t="s">
        <v>25</v>
      </c>
      <c r="D12" s="76" t="s">
        <v>25</v>
      </c>
      <c r="E12" s="12" t="s">
        <v>78</v>
      </c>
      <c r="F12" s="12" t="s">
        <v>25</v>
      </c>
      <c r="G12" s="13" t="s">
        <v>9</v>
      </c>
      <c r="H12" s="13" t="s">
        <v>71</v>
      </c>
      <c r="I12" s="13">
        <f>SUMIF(Mercado_Receita!$S$2:$S$225,"44440BGeraçãoNão se aplicaNão se aplicaTIPO 01Não se aplicaNão se aplica",Mercado_Receita!$J$2:$J$225)+SUMIF(Mercado_Receita!$S$2:$S$225,"44440BGeraçãoNão se aplicaNão se aplicaAPENão se aplicaNão se aplica",Mercado_Receita!$J$2:$J$225)</f>
        <v>0</v>
      </c>
      <c r="J12" s="13">
        <f>SUMIF(Mercado_Receita!$S$2:$S$225,"44470BGeraçãoNão se aplicaNão se aplicaTIPO 01Não se aplicaNão se aplica",Mercado_Receita!$J$2:$J$225)+SUMIF(Mercado_Receita!$S$2:$S$225,"44470BGeraçãoNão se aplicaNão se aplicaAPENão se aplicaNão se aplica",Mercado_Receita!$J$2:$J$225)</f>
        <v>0</v>
      </c>
      <c r="K12" s="13">
        <f>SUMIF(Mercado_Receita!$S$2:$S$225,"44501BGeraçãoNão se aplicaNão se aplicaTIPO 01Não se aplicaNão se aplica",Mercado_Receita!$J$2:$J$225)+SUMIF(Mercado_Receita!$S$2:$S$225,"44501BGeraçãoNão se aplicaNão se aplicaAPENão se aplicaNão se aplica",Mercado_Receita!$J$2:$J$225)</f>
        <v>0</v>
      </c>
      <c r="L12" s="13">
        <f>SUMIF(Mercado_Receita!$S$2:$S$225,"44531BGeraçãoNão se aplicaNão se aplicaTIPO 01Não se aplicaNão se aplica",Mercado_Receita!$J$2:$J$225)+SUMIF(Mercado_Receita!$S$2:$S$225,"44531BGeraçãoNão se aplicaNão se aplicaAPENão se aplicaNão se aplica",Mercado_Receita!$J$2:$J$225)</f>
        <v>0</v>
      </c>
      <c r="M12" s="13">
        <f>SUMIF(Mercado_Receita!$S$2:$S$225,"44562BGeraçãoNão se aplicaNão se aplicaTIPO 01Não se aplicaNão se aplica",Mercado_Receita!$J$2:$J$225)+SUMIF(Mercado_Receita!$S$2:$S$225,"44562BGeraçãoNão se aplicaNão se aplicaAPENão se aplicaNão se aplica",Mercado_Receita!$J$2:$J$225)</f>
        <v>0</v>
      </c>
      <c r="N12" s="13">
        <f>SUMIF(Mercado_Receita!$S$2:$S$225,"44593BGeraçãoNão se aplicaNão se aplicaTIPO 01Não se aplicaNão se aplica",Mercado_Receita!$J$2:$J$225)+SUMIF(Mercado_Receita!$S$2:$S$225,"44593BGeraçãoNão se aplicaNão se aplicaAPENão se aplicaNão se aplica",Mercado_Receita!$J$2:$J$225)</f>
        <v>0</v>
      </c>
      <c r="O12" s="13">
        <f>SUMIF(Mercado_Receita!$S$2:$S$225,"44621BGeraçãoNão se aplicaNão se aplicaTIPO 01Não se aplicaNão se aplica",Mercado_Receita!$J$2:$J$225)+SUMIF(Mercado_Receita!$S$2:$S$225,"44621BGeraçãoNão se aplicaNão se aplicaAPENão se aplicaNão se aplica",Mercado_Receita!$J$2:$J$225)</f>
        <v>0</v>
      </c>
      <c r="P12" s="13">
        <f>SUMIF(Mercado_Receita!$S$2:$S$225,"44652BGeraçãoNão se aplicaNão se aplicaTIPO 01Não se aplicaNão se aplica",Mercado_Receita!$J$2:$J$225)+SUMIF(Mercado_Receita!$S$2:$S$225,"44652BGeraçãoNão se aplicaNão se aplicaAPENão se aplicaNão se aplica",Mercado_Receita!$J$2:$J$225)</f>
        <v>0</v>
      </c>
      <c r="Q12" s="13">
        <f>SUMIF(Mercado_Receita!$S$2:$S$225,"44682BGeraçãoNão se aplicaNão se aplicaTIPO 01Não se aplicaNão se aplica",Mercado_Receita!$J$2:$J$225)+SUMIF(Mercado_Receita!$S$2:$S$225,"44682BGeraçãoNão se aplicaNão se aplicaAPENão se aplicaNão se aplica",Mercado_Receita!$J$2:$J$225)</f>
        <v>0</v>
      </c>
      <c r="R12" s="13">
        <f>SUMIF(Mercado_Receita!$S$2:$S$225,"44713BGeraçãoNão se aplicaNão se aplicaTIPO 01Não se aplicaNão se aplica",Mercado_Receita!$J$2:$J$225)+SUMIF(Mercado_Receita!$S$2:$S$225,"44713BGeraçãoNão se aplicaNão se aplicaAPENão se aplicaNão se aplica",Mercado_Receita!$J$2:$J$225)</f>
        <v>0</v>
      </c>
      <c r="S12" s="13">
        <f>SUMIF(Mercado_Receita!$S$2:$S$225,"44743BGeraçãoNão se aplicaNão se aplicaTIPO 01Não se aplicaNão se aplica",Mercado_Receita!$J$2:$J$225)+SUMIF(Mercado_Receita!$S$2:$S$225,"44743BGeraçãoNão se aplicaNão se aplicaAPENão se aplicaNão se aplica",Mercado_Receita!$J$2:$J$225)</f>
        <v>0</v>
      </c>
      <c r="T12" s="13">
        <f>SUMIF(Mercado_Receita!$S$2:$S$225,"44774BGeraçãoNão se aplicaNão se aplicaTIPO 01Não se aplicaNão se aplica",Mercado_Receita!$J$2:$J$225)+SUMIF(Mercado_Receita!$S$2:$S$225,"44774BGeraçãoNão se aplicaNão se aplicaAPENão se aplicaNão se aplica",Mercado_Receita!$J$2:$J$225)</f>
        <v>0</v>
      </c>
      <c r="U12" s="13">
        <f t="shared" si="0"/>
        <v>0</v>
      </c>
      <c r="V12" s="13"/>
      <c r="W12" s="13"/>
    </row>
    <row r="13" spans="1:30" ht="11.25" customHeight="1" x14ac:dyDescent="0.3">
      <c r="A13" s="77"/>
      <c r="B13" s="77"/>
      <c r="C13" s="77"/>
      <c r="D13" s="77"/>
      <c r="E13" s="12" t="s">
        <v>79</v>
      </c>
      <c r="F13" s="12" t="s">
        <v>25</v>
      </c>
      <c r="G13" s="13" t="s">
        <v>9</v>
      </c>
      <c r="H13" s="13" t="s">
        <v>71</v>
      </c>
      <c r="I13" s="13">
        <f>SUMIF(Mercado_Receita!$S$2:$S$225,"44440BGeraçãoNão se aplicaNão se aplicaTIPO 02Não se aplicaNão se aplica",Mercado_Receita!$J$2:$J$225)+SUMIF(Mercado_Receita!$S$2:$S$225,"44440BGeraçãoNão se aplicaNão se aplicaAPENão se aplicaNão se aplica",Mercado_Receita!$J$2:$J$225)</f>
        <v>0</v>
      </c>
      <c r="J13" s="13">
        <f>SUMIF(Mercado_Receita!$S$2:$S$225,"44470BGeraçãoNão se aplicaNão se aplicaTIPO 02Não se aplicaNão se aplica",Mercado_Receita!$J$2:$J$225)+SUMIF(Mercado_Receita!$S$2:$S$225,"44470BGeraçãoNão se aplicaNão se aplicaAPENão se aplicaNão se aplica",Mercado_Receita!$J$2:$J$225)</f>
        <v>0</v>
      </c>
      <c r="K13" s="13">
        <f>SUMIF(Mercado_Receita!$S$2:$S$225,"44501BGeraçãoNão se aplicaNão se aplicaTIPO 02Não se aplicaNão se aplica",Mercado_Receita!$J$2:$J$225)+SUMIF(Mercado_Receita!$S$2:$S$225,"44501BGeraçãoNão se aplicaNão se aplicaAPENão se aplicaNão se aplica",Mercado_Receita!$J$2:$J$225)</f>
        <v>0</v>
      </c>
      <c r="L13" s="13">
        <f>SUMIF(Mercado_Receita!$S$2:$S$225,"44531BGeraçãoNão se aplicaNão se aplicaTIPO 02Não se aplicaNão se aplica",Mercado_Receita!$J$2:$J$225)+SUMIF(Mercado_Receita!$S$2:$S$225,"44531BGeraçãoNão se aplicaNão se aplicaAPENão se aplicaNão se aplica",Mercado_Receita!$J$2:$J$225)</f>
        <v>0</v>
      </c>
      <c r="M13" s="13">
        <f>SUMIF(Mercado_Receita!$S$2:$S$225,"44562BGeraçãoNão se aplicaNão se aplicaTIPO 02Não se aplicaNão se aplica",Mercado_Receita!$J$2:$J$225)+SUMIF(Mercado_Receita!$S$2:$S$225,"44562BGeraçãoNão se aplicaNão se aplicaAPENão se aplicaNão se aplica",Mercado_Receita!$J$2:$J$225)</f>
        <v>0</v>
      </c>
      <c r="N13" s="13">
        <f>SUMIF(Mercado_Receita!$S$2:$S$225,"44593BGeraçãoNão se aplicaNão se aplicaTIPO 02Não se aplicaNão se aplica",Mercado_Receita!$J$2:$J$225)+SUMIF(Mercado_Receita!$S$2:$S$225,"44593BGeraçãoNão se aplicaNão se aplicaAPENão se aplicaNão se aplica",Mercado_Receita!$J$2:$J$225)</f>
        <v>0</v>
      </c>
      <c r="O13" s="13">
        <f>SUMIF(Mercado_Receita!$S$2:$S$225,"44621BGeraçãoNão se aplicaNão se aplicaTIPO 02Não se aplicaNão se aplica",Mercado_Receita!$J$2:$J$225)+SUMIF(Mercado_Receita!$S$2:$S$225,"44621BGeraçãoNão se aplicaNão se aplicaAPENão se aplicaNão se aplica",Mercado_Receita!$J$2:$J$225)</f>
        <v>0</v>
      </c>
      <c r="P13" s="13">
        <f>SUMIF(Mercado_Receita!$S$2:$S$225,"44652BGeraçãoNão se aplicaNão se aplicaTIPO 02Não se aplicaNão se aplica",Mercado_Receita!$J$2:$J$225)+SUMIF(Mercado_Receita!$S$2:$S$225,"44652BGeraçãoNão se aplicaNão se aplicaAPENão se aplicaNão se aplica",Mercado_Receita!$J$2:$J$225)</f>
        <v>0</v>
      </c>
      <c r="Q13" s="13">
        <f>SUMIF(Mercado_Receita!$S$2:$S$225,"44682BGeraçãoNão se aplicaNão se aplicaTIPO 02Não se aplicaNão se aplica",Mercado_Receita!$J$2:$J$225)+SUMIF(Mercado_Receita!$S$2:$S$225,"44682BGeraçãoNão se aplicaNão se aplicaAPENão se aplicaNão se aplica",Mercado_Receita!$J$2:$J$225)</f>
        <v>0</v>
      </c>
      <c r="R13" s="13">
        <f>SUMIF(Mercado_Receita!$S$2:$S$225,"44713BGeraçãoNão se aplicaNão se aplicaTIPO 02Não se aplicaNão se aplica",Mercado_Receita!$J$2:$J$225)+SUMIF(Mercado_Receita!$S$2:$S$225,"44713BGeraçãoNão se aplicaNão se aplicaAPENão se aplicaNão se aplica",Mercado_Receita!$J$2:$J$225)</f>
        <v>0</v>
      </c>
      <c r="S13" s="13">
        <f>SUMIF(Mercado_Receita!$S$2:$S$225,"44743BGeraçãoNão se aplicaNão se aplicaTIPO 02Não se aplicaNão se aplica",Mercado_Receita!$J$2:$J$225)+SUMIF(Mercado_Receita!$S$2:$S$225,"44743BGeraçãoNão se aplicaNão se aplicaAPENão se aplicaNão se aplica",Mercado_Receita!$J$2:$J$225)</f>
        <v>0</v>
      </c>
      <c r="T13" s="13">
        <f>SUMIF(Mercado_Receita!$S$2:$S$225,"44774BGeraçãoNão se aplicaNão se aplicaTIPO 02Não se aplicaNão se aplica",Mercado_Receita!$J$2:$J$225)+SUMIF(Mercado_Receita!$S$2:$S$225,"44774BGeraçãoNão se aplicaNão se aplicaAPENão se aplicaNão se aplica",Mercado_Receita!$J$2:$J$225)</f>
        <v>0</v>
      </c>
      <c r="U13" s="13">
        <f t="shared" si="0"/>
        <v>0</v>
      </c>
      <c r="V13" s="13"/>
      <c r="W13" s="13"/>
    </row>
    <row r="14" spans="1:30" ht="11.25" customHeight="1" x14ac:dyDescent="0.3">
      <c r="A14" s="76" t="s">
        <v>22</v>
      </c>
      <c r="B14" s="76" t="s">
        <v>82</v>
      </c>
      <c r="C14" s="76" t="s">
        <v>24</v>
      </c>
      <c r="D14" s="76" t="s">
        <v>24</v>
      </c>
      <c r="E14" s="76" t="s">
        <v>25</v>
      </c>
      <c r="F14" s="76" t="s">
        <v>25</v>
      </c>
      <c r="G14" s="13" t="s">
        <v>69</v>
      </c>
      <c r="H14" s="13" t="s">
        <v>68</v>
      </c>
      <c r="I14" s="13">
        <f>SUMIF(Mercado_Receita!$S$2:$S$225,"44440B1BrancaResidencialResidencialNão se aplicaNão se aplicaPonta",Mercado_Receita!$L$2:$L$225)</f>
        <v>0</v>
      </c>
      <c r="J14" s="13">
        <f>SUMIF(Mercado_Receita!$S$2:$S$225,"44470B1BrancaResidencialResidencialNão se aplicaNão se aplicaPonta",Mercado_Receita!$L$2:$L$225)</f>
        <v>0</v>
      </c>
      <c r="K14" s="13">
        <f>SUMIF(Mercado_Receita!$S$2:$S$225,"44501B1BrancaResidencialResidencialNão se aplicaNão se aplicaPonta",Mercado_Receita!$L$2:$L$225)</f>
        <v>0</v>
      </c>
      <c r="L14" s="13">
        <f>SUMIF(Mercado_Receita!$S$2:$S$225,"44531B1BrancaResidencialResidencialNão se aplicaNão se aplicaPonta",Mercado_Receita!$L$2:$L$225)</f>
        <v>0</v>
      </c>
      <c r="M14" s="13">
        <f>SUMIF(Mercado_Receita!$S$2:$S$225,"44562B1BrancaResidencialResidencialNão se aplicaNão se aplicaPonta",Mercado_Receita!$L$2:$L$225)</f>
        <v>0</v>
      </c>
      <c r="N14" s="13">
        <f>SUMIF(Mercado_Receita!$S$2:$S$225,"44593B1BrancaResidencialResidencialNão se aplicaNão se aplicaPonta",Mercado_Receita!$L$2:$L$225)</f>
        <v>0</v>
      </c>
      <c r="O14" s="13">
        <f>SUMIF(Mercado_Receita!$S$2:$S$225,"44621B1BrancaResidencialResidencialNão se aplicaNão se aplicaPonta",Mercado_Receita!$L$2:$L$225)</f>
        <v>0</v>
      </c>
      <c r="P14" s="13">
        <f>SUMIF(Mercado_Receita!$S$2:$S$225,"44652B1BrancaResidencialResidencialNão se aplicaNão se aplicaPonta",Mercado_Receita!$L$2:$L$225)</f>
        <v>0</v>
      </c>
      <c r="Q14" s="13">
        <f>SUMIF(Mercado_Receita!$S$2:$S$225,"44682B1BrancaResidencialResidencialNão se aplicaNão se aplicaPonta",Mercado_Receita!$L$2:$L$225)</f>
        <v>0</v>
      </c>
      <c r="R14" s="13">
        <f>SUMIF(Mercado_Receita!$S$2:$S$225,"44713B1BrancaResidencialResidencialNão se aplicaNão se aplicaPonta",Mercado_Receita!$L$2:$L$225)</f>
        <v>0</v>
      </c>
      <c r="S14" s="13">
        <f>SUMIF(Mercado_Receita!$S$2:$S$225,"44743B1BrancaResidencialResidencialNão se aplicaNão se aplicaPonta",Mercado_Receita!$L$2:$L$225)</f>
        <v>0</v>
      </c>
      <c r="T14" s="13">
        <f>SUMIF(Mercado_Receita!$S$2:$S$225,"44774B1BrancaResidencialResidencialNão se aplicaNão se aplicaPonta",Mercado_Receita!$L$2:$L$225)</f>
        <v>0</v>
      </c>
      <c r="U14" s="13">
        <f t="shared" si="0"/>
        <v>0</v>
      </c>
      <c r="V14" s="13"/>
      <c r="W14" s="13"/>
    </row>
    <row r="15" spans="1:30" ht="11.25" customHeight="1" x14ac:dyDescent="0.3">
      <c r="A15" s="77"/>
      <c r="B15" s="77"/>
      <c r="C15" s="77"/>
      <c r="D15" s="77"/>
      <c r="E15" s="77"/>
      <c r="F15" s="77"/>
      <c r="G15" s="13" t="s">
        <v>80</v>
      </c>
      <c r="H15" s="13" t="s">
        <v>68</v>
      </c>
      <c r="I15" s="13">
        <f>SUMIF(Mercado_Receita!$S$2:$S$225,"44440B1BrancaResidencialResidencialNão se aplicaNão se aplicaIntermediário",Mercado_Receita!$L$2:$L$225)</f>
        <v>0</v>
      </c>
      <c r="J15" s="13">
        <f>SUMIF(Mercado_Receita!$S$2:$S$225,"44470B1BrancaResidencialResidencialNão se aplicaNão se aplicaIntermediário",Mercado_Receita!$L$2:$L$225)</f>
        <v>0</v>
      </c>
      <c r="K15" s="13">
        <f>SUMIF(Mercado_Receita!$S$2:$S$225,"44501B1BrancaResidencialResidencialNão se aplicaNão se aplicaIntermediário",Mercado_Receita!$L$2:$L$225)</f>
        <v>0</v>
      </c>
      <c r="L15" s="13">
        <f>SUMIF(Mercado_Receita!$S$2:$S$225,"44531B1BrancaResidencialResidencialNão se aplicaNão se aplicaIntermediário",Mercado_Receita!$L$2:$L$225)</f>
        <v>0</v>
      </c>
      <c r="M15" s="13">
        <f>SUMIF(Mercado_Receita!$S$2:$S$225,"44562B1BrancaResidencialResidencialNão se aplicaNão se aplicaIntermediário",Mercado_Receita!$L$2:$L$225)</f>
        <v>0</v>
      </c>
      <c r="N15" s="13">
        <f>SUMIF(Mercado_Receita!$S$2:$S$225,"44593B1BrancaResidencialResidencialNão se aplicaNão se aplicaIntermediário",Mercado_Receita!$L$2:$L$225)</f>
        <v>0</v>
      </c>
      <c r="O15" s="13">
        <f>SUMIF(Mercado_Receita!$S$2:$S$225,"44621B1BrancaResidencialResidencialNão se aplicaNão se aplicaIntermediário",Mercado_Receita!$L$2:$L$225)</f>
        <v>0</v>
      </c>
      <c r="P15" s="13">
        <f>SUMIF(Mercado_Receita!$S$2:$S$225,"44652B1BrancaResidencialResidencialNão se aplicaNão se aplicaIntermediário",Mercado_Receita!$L$2:$L$225)</f>
        <v>0</v>
      </c>
      <c r="Q15" s="13">
        <f>SUMIF(Mercado_Receita!$S$2:$S$225,"44682B1BrancaResidencialResidencialNão se aplicaNão se aplicaIntermediário",Mercado_Receita!$L$2:$L$225)</f>
        <v>0</v>
      </c>
      <c r="R15" s="13">
        <f>SUMIF(Mercado_Receita!$S$2:$S$225,"44713B1BrancaResidencialResidencialNão se aplicaNão se aplicaIntermediário",Mercado_Receita!$L$2:$L$225)</f>
        <v>0</v>
      </c>
      <c r="S15" s="13">
        <f>SUMIF(Mercado_Receita!$S$2:$S$225,"44743B1BrancaResidencialResidencialNão se aplicaNão se aplicaIntermediário",Mercado_Receita!$L$2:$L$225)</f>
        <v>0</v>
      </c>
      <c r="T15" s="13">
        <f>SUMIF(Mercado_Receita!$S$2:$S$225,"44774B1BrancaResidencialResidencialNão se aplicaNão se aplicaIntermediário",Mercado_Receita!$L$2:$L$225)</f>
        <v>0</v>
      </c>
      <c r="U15" s="13">
        <f t="shared" si="0"/>
        <v>0</v>
      </c>
      <c r="V15" s="13"/>
      <c r="W15" s="13"/>
    </row>
    <row r="16" spans="1:30" ht="11.25" customHeight="1" x14ac:dyDescent="0.3">
      <c r="A16" s="77"/>
      <c r="B16" s="77"/>
      <c r="C16" s="77"/>
      <c r="D16" s="77"/>
      <c r="E16" s="77"/>
      <c r="F16" s="77"/>
      <c r="G16" s="13" t="s">
        <v>70</v>
      </c>
      <c r="H16" s="13" t="s">
        <v>68</v>
      </c>
      <c r="I16" s="13">
        <f>SUMIF(Mercado_Receita!$S$2:$S$225,"44440B1BrancaResidencialResidencialNão se aplicaNão se aplicaFora ponta",Mercado_Receita!$L$2:$L$225)</f>
        <v>0</v>
      </c>
      <c r="J16" s="13">
        <f>SUMIF(Mercado_Receita!$S$2:$S$225,"44470B1BrancaResidencialResidencialNão se aplicaNão se aplicaFora ponta",Mercado_Receita!$L$2:$L$225)</f>
        <v>0</v>
      </c>
      <c r="K16" s="13">
        <f>SUMIF(Mercado_Receita!$S$2:$S$225,"44501B1BrancaResidencialResidencialNão se aplicaNão se aplicaFora ponta",Mercado_Receita!$L$2:$L$225)</f>
        <v>0</v>
      </c>
      <c r="L16" s="13">
        <f>SUMIF(Mercado_Receita!$S$2:$S$225,"44531B1BrancaResidencialResidencialNão se aplicaNão se aplicaFora ponta",Mercado_Receita!$L$2:$L$225)</f>
        <v>0</v>
      </c>
      <c r="M16" s="13">
        <f>SUMIF(Mercado_Receita!$S$2:$S$225,"44562B1BrancaResidencialResidencialNão se aplicaNão se aplicaFora ponta",Mercado_Receita!$L$2:$L$225)</f>
        <v>0</v>
      </c>
      <c r="N16" s="13">
        <f>SUMIF(Mercado_Receita!$S$2:$S$225,"44593B1BrancaResidencialResidencialNão se aplicaNão se aplicaFora ponta",Mercado_Receita!$L$2:$L$225)</f>
        <v>0</v>
      </c>
      <c r="O16" s="13">
        <f>SUMIF(Mercado_Receita!$S$2:$S$225,"44621B1BrancaResidencialResidencialNão se aplicaNão se aplicaFora ponta",Mercado_Receita!$L$2:$L$225)</f>
        <v>0</v>
      </c>
      <c r="P16" s="13">
        <f>SUMIF(Mercado_Receita!$S$2:$S$225,"44652B1BrancaResidencialResidencialNão se aplicaNão se aplicaFora ponta",Mercado_Receita!$L$2:$L$225)</f>
        <v>0</v>
      </c>
      <c r="Q16" s="13">
        <f>SUMIF(Mercado_Receita!$S$2:$S$225,"44682B1BrancaResidencialResidencialNão se aplicaNão se aplicaFora ponta",Mercado_Receita!$L$2:$L$225)</f>
        <v>0</v>
      </c>
      <c r="R16" s="13">
        <f>SUMIF(Mercado_Receita!$S$2:$S$225,"44713B1BrancaResidencialResidencialNão se aplicaNão se aplicaFora ponta",Mercado_Receita!$L$2:$L$225)</f>
        <v>0</v>
      </c>
      <c r="S16" s="13">
        <f>SUMIF(Mercado_Receita!$S$2:$S$225,"44743B1BrancaResidencialResidencialNão se aplicaNão se aplicaFora ponta",Mercado_Receita!$L$2:$L$225)</f>
        <v>0</v>
      </c>
      <c r="T16" s="13">
        <f>SUMIF(Mercado_Receita!$S$2:$S$225,"44774B1BrancaResidencialResidencialNão se aplicaNão se aplicaFora ponta",Mercado_Receita!$L$2:$L$225)</f>
        <v>0</v>
      </c>
      <c r="U16" s="13">
        <f t="shared" si="0"/>
        <v>0</v>
      </c>
      <c r="V16" s="13"/>
      <c r="W16" s="13"/>
    </row>
    <row r="17" spans="1:23" ht="11.25" customHeight="1" x14ac:dyDescent="0.3">
      <c r="A17" s="77"/>
      <c r="B17" s="76" t="s">
        <v>23</v>
      </c>
      <c r="C17" s="76" t="s">
        <v>24</v>
      </c>
      <c r="D17" s="12" t="s">
        <v>24</v>
      </c>
      <c r="E17" s="12" t="s">
        <v>25</v>
      </c>
      <c r="F17" s="12" t="s">
        <v>25</v>
      </c>
      <c r="G17" s="13" t="s">
        <v>74</v>
      </c>
      <c r="H17" s="13" t="s">
        <v>68</v>
      </c>
      <c r="I17" s="13">
        <f>SUMIF(Mercado_Receita!$S$2:$S$225,"44440B1ConvencionalResidencialResidencialNão se aplicaNão se aplicaPonta",Mercado_Receita!$L$2:$L$225)+SUMIF(Mercado_Receita!$S$2:$S$225,"44440B1ConvencionalResidencialResidencialNão se aplicaNão se aplicaFora ponta",Mercado_Receita!$L$2:$L$225)+SUMIF(Mercado_Receita!$S$2:$S$225,"44440B1ConvencionalResidencialResidencialNão se aplicaNão se aplicaIntermediário",Mercado_Receita!$L$2:$L$225)+SUMIF(Mercado_Receita!$S$2:$S$225,"44440B1ConvencionalResidencialResidencialNão se aplicaNão se aplicaNão se aplica",Mercado_Receita!$L$2:$L$225)</f>
        <v>38.773000000000003</v>
      </c>
      <c r="J17" s="13">
        <f>SUMIF(Mercado_Receita!$S$2:$S$225,"44470B1ConvencionalResidencialResidencialNão se aplicaNão se aplicaPonta",Mercado_Receita!$L$2:$L$225)+SUMIF(Mercado_Receita!$S$2:$S$225,"44470B1ConvencionalResidencialResidencialNão se aplicaNão se aplicaFora ponta",Mercado_Receita!$L$2:$L$225)+SUMIF(Mercado_Receita!$S$2:$S$225,"44470B1ConvencionalResidencialResidencialNão se aplicaNão se aplicaIntermediário",Mercado_Receita!$L$2:$L$225)+SUMIF(Mercado_Receita!$S$2:$S$225,"44470B1ConvencionalResidencialResidencialNão se aplicaNão se aplicaNão se aplica",Mercado_Receita!$L$2:$L$225)</f>
        <v>37.901000000000003</v>
      </c>
      <c r="K17" s="13">
        <f>SUMIF(Mercado_Receita!$S$2:$S$225,"44501B1ConvencionalResidencialResidencialNão se aplicaNão se aplicaPonta",Mercado_Receita!$L$2:$L$225)+SUMIF(Mercado_Receita!$S$2:$S$225,"44501B1ConvencionalResidencialResidencialNão se aplicaNão se aplicaFora ponta",Mercado_Receita!$L$2:$L$225)+SUMIF(Mercado_Receita!$S$2:$S$225,"44501B1ConvencionalResidencialResidencialNão se aplicaNão se aplicaIntermediário",Mercado_Receita!$L$2:$L$225)+SUMIF(Mercado_Receita!$S$2:$S$225,"44501B1ConvencionalResidencialResidencialNão se aplicaNão se aplicaNão se aplica",Mercado_Receita!$L$2:$L$225)</f>
        <v>35.085000000000001</v>
      </c>
      <c r="L17" s="13">
        <f>SUMIF(Mercado_Receita!$S$2:$S$225,"44531B1ConvencionalResidencialResidencialNão se aplicaNão se aplicaPonta",Mercado_Receita!$L$2:$L$225)+SUMIF(Mercado_Receita!$S$2:$S$225,"44531B1ConvencionalResidencialResidencialNão se aplicaNão se aplicaFora ponta",Mercado_Receita!$L$2:$L$225)+SUMIF(Mercado_Receita!$S$2:$S$225,"44531B1ConvencionalResidencialResidencialNão se aplicaNão se aplicaIntermediário",Mercado_Receita!$L$2:$L$225)+SUMIF(Mercado_Receita!$S$2:$S$225,"44531B1ConvencionalResidencialResidencialNão se aplicaNão se aplicaNão se aplica",Mercado_Receita!$L$2:$L$225)</f>
        <v>33</v>
      </c>
      <c r="M17" s="13">
        <f>SUMIF(Mercado_Receita!$S$2:$S$225,"44562B1ConvencionalResidencialResidencialNão se aplicaNão se aplicaPonta",Mercado_Receita!$L$2:$L$225)+SUMIF(Mercado_Receita!$S$2:$S$225,"44562B1ConvencionalResidencialResidencialNão se aplicaNão se aplicaFora ponta",Mercado_Receita!$L$2:$L$225)+SUMIF(Mercado_Receita!$S$2:$S$225,"44562B1ConvencionalResidencialResidencialNão se aplicaNão se aplicaIntermediário",Mercado_Receita!$L$2:$L$225)+SUMIF(Mercado_Receita!$S$2:$S$225,"44562B1ConvencionalResidencialResidencialNão se aplicaNão se aplicaNão se aplica",Mercado_Receita!$L$2:$L$225)</f>
        <v>41.52</v>
      </c>
      <c r="N17" s="13">
        <f>SUMIF(Mercado_Receita!$S$2:$S$225,"44593B1ConvencionalResidencialResidencialNão se aplicaNão se aplicaPonta",Mercado_Receita!$L$2:$L$225)+SUMIF(Mercado_Receita!$S$2:$S$225,"44593B1ConvencionalResidencialResidencialNão se aplicaNão se aplicaFora ponta",Mercado_Receita!$L$2:$L$225)+SUMIF(Mercado_Receita!$S$2:$S$225,"44593B1ConvencionalResidencialResidencialNão se aplicaNão se aplicaIntermediário",Mercado_Receita!$L$2:$L$225)+SUMIF(Mercado_Receita!$S$2:$S$225,"44593B1ConvencionalResidencialResidencialNão se aplicaNão se aplicaNão se aplica",Mercado_Receita!$L$2:$L$225)</f>
        <v>35.936999999999998</v>
      </c>
      <c r="O17" s="13">
        <f>SUMIF(Mercado_Receita!$S$2:$S$225,"44621B1ConvencionalResidencialResidencialNão se aplicaNão se aplicaPonta",Mercado_Receita!$L$2:$L$225)+SUMIF(Mercado_Receita!$S$2:$S$225,"44621B1ConvencionalResidencialResidencialNão se aplicaNão se aplicaFora ponta",Mercado_Receita!$L$2:$L$225)+SUMIF(Mercado_Receita!$S$2:$S$225,"44621B1ConvencionalResidencialResidencialNão se aplicaNão se aplicaIntermediário",Mercado_Receita!$L$2:$L$225)+SUMIF(Mercado_Receita!$S$2:$S$225,"44621B1ConvencionalResidencialResidencialNão se aplicaNão se aplicaNão se aplica",Mercado_Receita!$L$2:$L$225)</f>
        <v>34.384999999999998</v>
      </c>
      <c r="P17" s="13">
        <f>SUMIF(Mercado_Receita!$S$2:$S$225,"44652B1ConvencionalResidencialResidencialNão se aplicaNão se aplicaPonta",Mercado_Receita!$L$2:$L$225)+SUMIF(Mercado_Receita!$S$2:$S$225,"44652B1ConvencionalResidencialResidencialNão se aplicaNão se aplicaFora ponta",Mercado_Receita!$L$2:$L$225)+SUMIF(Mercado_Receita!$S$2:$S$225,"44652B1ConvencionalResidencialResidencialNão se aplicaNão se aplicaIntermediário",Mercado_Receita!$L$2:$L$225)+SUMIF(Mercado_Receita!$S$2:$S$225,"44652B1ConvencionalResidencialResidencialNão se aplicaNão se aplicaNão se aplica",Mercado_Receita!$L$2:$L$225)</f>
        <v>32.024000000000001</v>
      </c>
      <c r="Q17" s="13">
        <f>SUMIF(Mercado_Receita!$S$2:$S$225,"44682B1ConvencionalResidencialResidencialNão se aplicaNão se aplicaPonta",Mercado_Receita!$L$2:$L$225)+SUMIF(Mercado_Receita!$S$2:$S$225,"44682B1ConvencionalResidencialResidencialNão se aplicaNão se aplicaFora ponta",Mercado_Receita!$L$2:$L$225)+SUMIF(Mercado_Receita!$S$2:$S$225,"44682B1ConvencionalResidencialResidencialNão se aplicaNão se aplicaIntermediário",Mercado_Receita!$L$2:$L$225)+SUMIF(Mercado_Receita!$S$2:$S$225,"44682B1ConvencionalResidencialResidencialNão se aplicaNão se aplicaNão se aplica",Mercado_Receita!$L$2:$L$225)</f>
        <v>34.606999999999999</v>
      </c>
      <c r="R17" s="13">
        <f>SUMIF(Mercado_Receita!$S$2:$S$225,"44713B1ConvencionalResidencialResidencialNão se aplicaNão se aplicaPonta",Mercado_Receita!$L$2:$L$225)+SUMIF(Mercado_Receita!$S$2:$S$225,"44713B1ConvencionalResidencialResidencialNão se aplicaNão se aplicaFora ponta",Mercado_Receita!$L$2:$L$225)+SUMIF(Mercado_Receita!$S$2:$S$225,"44713B1ConvencionalResidencialResidencialNão se aplicaNão se aplicaIntermediário",Mercado_Receita!$L$2:$L$225)+SUMIF(Mercado_Receita!$S$2:$S$225,"44713B1ConvencionalResidencialResidencialNão se aplicaNão se aplicaNão se aplica",Mercado_Receita!$L$2:$L$225)</f>
        <v>36.395000000000003</v>
      </c>
      <c r="S17" s="13">
        <f>SUMIF(Mercado_Receita!$S$2:$S$225,"44743B1ConvencionalResidencialResidencialNão se aplicaNão se aplicaPonta",Mercado_Receita!$L$2:$L$225)+SUMIF(Mercado_Receita!$S$2:$S$225,"44743B1ConvencionalResidencialResidencialNão se aplicaNão se aplicaFora ponta",Mercado_Receita!$L$2:$L$225)+SUMIF(Mercado_Receita!$S$2:$S$225,"44743B1ConvencionalResidencialResidencialNão se aplicaNão se aplicaIntermediário",Mercado_Receita!$L$2:$L$225)+SUMIF(Mercado_Receita!$S$2:$S$225,"44743B1ConvencionalResidencialResidencialNão se aplicaNão se aplicaNão se aplica",Mercado_Receita!$L$2:$L$225)</f>
        <v>34.505000000000003</v>
      </c>
      <c r="T17" s="13">
        <f>SUMIF(Mercado_Receita!$S$2:$S$225,"44774B1ConvencionalResidencialResidencialNão se aplicaNão se aplicaPonta",Mercado_Receita!$L$2:$L$225)+SUMIF(Mercado_Receita!$S$2:$S$225,"44774B1ConvencionalResidencialResidencialNão se aplicaNão se aplicaFora ponta",Mercado_Receita!$L$2:$L$225)+SUMIF(Mercado_Receita!$S$2:$S$225,"44774B1ConvencionalResidencialResidencialNão se aplicaNão se aplicaIntermediário",Mercado_Receita!$L$2:$L$225)+SUMIF(Mercado_Receita!$S$2:$S$225,"44774B1ConvencionalResidencialResidencialNão se aplicaNão se aplicaNão se aplica",Mercado_Receita!$L$2:$L$225)</f>
        <v>40.155999999999999</v>
      </c>
      <c r="U17" s="13">
        <f t="shared" si="0"/>
        <v>434.28799999999995</v>
      </c>
      <c r="V17" s="13"/>
      <c r="W17" s="13"/>
    </row>
    <row r="18" spans="1:23" ht="11.25" customHeight="1" x14ac:dyDescent="0.3">
      <c r="A18" s="77"/>
      <c r="B18" s="77"/>
      <c r="C18" s="77"/>
      <c r="D18" s="12" t="s">
        <v>27</v>
      </c>
      <c r="E18" s="12" t="s">
        <v>25</v>
      </c>
      <c r="F18" s="12" t="s">
        <v>25</v>
      </c>
      <c r="G18" s="13" t="s">
        <v>74</v>
      </c>
      <c r="H18" s="13" t="s">
        <v>68</v>
      </c>
      <c r="I18" s="13">
        <f>SUMIF(Mercado_Receita!$S$2:$S$225,"44440B1ConvencionalResidencialResidencial baixa renda – faixa 01Não se aplicaNão se aplicaPonta",Mercado_Receita!$L$2:$L$225)+SUMIF(Mercado_Receita!$S$2:$S$225,"44440B1ConvencionalResidencialResidencial baixa renda – faixa 01Não se aplicaNão se aplicaFora ponta",Mercado_Receita!$L$2:$L$225)+SUMIF(Mercado_Receita!$S$2:$S$225,"44440B1ConvencionalResidencialResidencial baixa renda – faixa 01Não se aplicaNão se aplicaIntermediário",Mercado_Receita!$L$2:$L$225)+SUMIF(Mercado_Receita!$S$2:$S$225,"44440B1ConvencionalResidencialResidencial baixa renda – faixa 01Não se aplicaNão se aplicaNão se aplica",Mercado_Receita!$L$2:$L$225)</f>
        <v>0.06</v>
      </c>
      <c r="J18" s="13">
        <f>SUMIF(Mercado_Receita!$S$2:$S$225,"44470B1ConvencionalResidencialResidencial baixa renda – faixa 01Não se aplicaNão se aplicaPonta",Mercado_Receita!$L$2:$L$225)+SUMIF(Mercado_Receita!$S$2:$S$225,"44470B1ConvencionalResidencialResidencial baixa renda – faixa 01Não se aplicaNão se aplicaFora ponta",Mercado_Receita!$L$2:$L$225)+SUMIF(Mercado_Receita!$S$2:$S$225,"44470B1ConvencionalResidencialResidencial baixa renda – faixa 01Não se aplicaNão se aplicaIntermediário",Mercado_Receita!$L$2:$L$225)+SUMIF(Mercado_Receita!$S$2:$S$225,"44470B1ConvencionalResidencialResidencial baixa renda – faixa 01Não se aplicaNão se aplicaNão se aplica",Mercado_Receita!$L$2:$L$225)</f>
        <v>0.06</v>
      </c>
      <c r="K18" s="13">
        <f>SUMIF(Mercado_Receita!$S$2:$S$225,"44501B1ConvencionalResidencialResidencial baixa renda – faixa 01Não se aplicaNão se aplicaPonta",Mercado_Receita!$L$2:$L$225)+SUMIF(Mercado_Receita!$S$2:$S$225,"44501B1ConvencionalResidencialResidencial baixa renda – faixa 01Não se aplicaNão se aplicaFora ponta",Mercado_Receita!$L$2:$L$225)+SUMIF(Mercado_Receita!$S$2:$S$225,"44501B1ConvencionalResidencialResidencial baixa renda – faixa 01Não se aplicaNão se aplicaIntermediário",Mercado_Receita!$L$2:$L$225)+SUMIF(Mercado_Receita!$S$2:$S$225,"44501B1ConvencionalResidencialResidencial baixa renda – faixa 01Não se aplicaNão se aplicaNão se aplica",Mercado_Receita!$L$2:$L$225)</f>
        <v>0.09</v>
      </c>
      <c r="L18" s="13">
        <f>SUMIF(Mercado_Receita!$S$2:$S$225,"44531B1ConvencionalResidencialResidencial baixa renda – faixa 01Não se aplicaNão se aplicaPonta",Mercado_Receita!$L$2:$L$225)+SUMIF(Mercado_Receita!$S$2:$S$225,"44531B1ConvencionalResidencialResidencial baixa renda – faixa 01Não se aplicaNão se aplicaFora ponta",Mercado_Receita!$L$2:$L$225)+SUMIF(Mercado_Receita!$S$2:$S$225,"44531B1ConvencionalResidencialResidencial baixa renda – faixa 01Não se aplicaNão se aplicaIntermediário",Mercado_Receita!$L$2:$L$225)+SUMIF(Mercado_Receita!$S$2:$S$225,"44531B1ConvencionalResidencialResidencial baixa renda – faixa 01Não se aplicaNão se aplicaNão se aplica",Mercado_Receita!$L$2:$L$225)</f>
        <v>0.09</v>
      </c>
      <c r="M18" s="13">
        <f>SUMIF(Mercado_Receita!$S$2:$S$225,"44562B1ConvencionalResidencialResidencial baixa renda – faixa 01Não se aplicaNão se aplicaPonta",Mercado_Receita!$L$2:$L$225)+SUMIF(Mercado_Receita!$S$2:$S$225,"44562B1ConvencionalResidencialResidencial baixa renda – faixa 01Não se aplicaNão se aplicaFora ponta",Mercado_Receita!$L$2:$L$225)+SUMIF(Mercado_Receita!$S$2:$S$225,"44562B1ConvencionalResidencialResidencial baixa renda – faixa 01Não se aplicaNão se aplicaIntermediário",Mercado_Receita!$L$2:$L$225)+SUMIF(Mercado_Receita!$S$2:$S$225,"44562B1ConvencionalResidencialResidencial baixa renda – faixa 01Não se aplicaNão se aplicaNão se aplica",Mercado_Receita!$L$2:$L$225)</f>
        <v>0.09</v>
      </c>
      <c r="N18" s="13">
        <f>SUMIF(Mercado_Receita!$S$2:$S$225,"44593B1ConvencionalResidencialResidencial baixa renda – faixa 01Não se aplicaNão se aplicaPonta",Mercado_Receita!$L$2:$L$225)+SUMIF(Mercado_Receita!$S$2:$S$225,"44593B1ConvencionalResidencialResidencial baixa renda – faixa 01Não se aplicaNão se aplicaFora ponta",Mercado_Receita!$L$2:$L$225)+SUMIF(Mercado_Receita!$S$2:$S$225,"44593B1ConvencionalResidencialResidencial baixa renda – faixa 01Não se aplicaNão se aplicaIntermediário",Mercado_Receita!$L$2:$L$225)+SUMIF(Mercado_Receita!$S$2:$S$225,"44593B1ConvencionalResidencialResidencial baixa renda – faixa 01Não se aplicaNão se aplicaNão se aplica",Mercado_Receita!$L$2:$L$225)</f>
        <v>0.18</v>
      </c>
      <c r="O18" s="13">
        <f>SUMIF(Mercado_Receita!$S$2:$S$225,"44621B1ConvencionalResidencialResidencial baixa renda – faixa 01Não se aplicaNão se aplicaPonta",Mercado_Receita!$L$2:$L$225)+SUMIF(Mercado_Receita!$S$2:$S$225,"44621B1ConvencionalResidencialResidencial baixa renda – faixa 01Não se aplicaNão se aplicaFora ponta",Mercado_Receita!$L$2:$L$225)+SUMIF(Mercado_Receita!$S$2:$S$225,"44621B1ConvencionalResidencialResidencial baixa renda – faixa 01Não se aplicaNão se aplicaIntermediário",Mercado_Receita!$L$2:$L$225)+SUMIF(Mercado_Receita!$S$2:$S$225,"44621B1ConvencionalResidencialResidencial baixa renda – faixa 01Não se aplicaNão se aplicaNão se aplica",Mercado_Receita!$L$2:$L$225)</f>
        <v>0.3</v>
      </c>
      <c r="P18" s="13">
        <f>SUMIF(Mercado_Receita!$S$2:$S$225,"44652B1ConvencionalResidencialResidencial baixa renda – faixa 01Não se aplicaNão se aplicaPonta",Mercado_Receita!$L$2:$L$225)+SUMIF(Mercado_Receita!$S$2:$S$225,"44652B1ConvencionalResidencialResidencial baixa renda – faixa 01Não se aplicaNão se aplicaFora ponta",Mercado_Receita!$L$2:$L$225)+SUMIF(Mercado_Receita!$S$2:$S$225,"44652B1ConvencionalResidencialResidencial baixa renda – faixa 01Não se aplicaNão se aplicaIntermediário",Mercado_Receita!$L$2:$L$225)+SUMIF(Mercado_Receita!$S$2:$S$225,"44652B1ConvencionalResidencialResidencial baixa renda – faixa 01Não se aplicaNão se aplicaNão se aplica",Mercado_Receita!$L$2:$L$225)</f>
        <v>0.3</v>
      </c>
      <c r="Q18" s="13">
        <f>SUMIF(Mercado_Receita!$S$2:$S$225,"44682B1ConvencionalResidencialResidencial baixa renda – faixa 01Não se aplicaNão se aplicaPonta",Mercado_Receita!$L$2:$L$225)+SUMIF(Mercado_Receita!$S$2:$S$225,"44682B1ConvencionalResidencialResidencial baixa renda – faixa 01Não se aplicaNão se aplicaFora ponta",Mercado_Receita!$L$2:$L$225)+SUMIF(Mercado_Receita!$S$2:$S$225,"44682B1ConvencionalResidencialResidencial baixa renda – faixa 01Não se aplicaNão se aplicaIntermediário",Mercado_Receita!$L$2:$L$225)+SUMIF(Mercado_Receita!$S$2:$S$225,"44682B1ConvencionalResidencialResidencial baixa renda – faixa 01Não se aplicaNão se aplicaNão se aplica",Mercado_Receita!$L$2:$L$225)</f>
        <v>0.3</v>
      </c>
      <c r="R18" s="13">
        <f>SUMIF(Mercado_Receita!$S$2:$S$225,"44713B1ConvencionalResidencialResidencial baixa renda – faixa 01Não se aplicaNão se aplicaPonta",Mercado_Receita!$L$2:$L$225)+SUMIF(Mercado_Receita!$S$2:$S$225,"44713B1ConvencionalResidencialResidencial baixa renda – faixa 01Não se aplicaNão se aplicaFora ponta",Mercado_Receita!$L$2:$L$225)+SUMIF(Mercado_Receita!$S$2:$S$225,"44713B1ConvencionalResidencialResidencial baixa renda – faixa 01Não se aplicaNão se aplicaIntermediário",Mercado_Receita!$L$2:$L$225)+SUMIF(Mercado_Receita!$S$2:$S$225,"44713B1ConvencionalResidencialResidencial baixa renda – faixa 01Não se aplicaNão se aplicaNão se aplica",Mercado_Receita!$L$2:$L$225)</f>
        <v>0.3</v>
      </c>
      <c r="S18" s="13">
        <f>SUMIF(Mercado_Receita!$S$2:$S$225,"44743B1ConvencionalResidencialResidencial baixa renda – faixa 01Não se aplicaNão se aplicaPonta",Mercado_Receita!$L$2:$L$225)+SUMIF(Mercado_Receita!$S$2:$S$225,"44743B1ConvencionalResidencialResidencial baixa renda – faixa 01Não se aplicaNão se aplicaFora ponta",Mercado_Receita!$L$2:$L$225)+SUMIF(Mercado_Receita!$S$2:$S$225,"44743B1ConvencionalResidencialResidencial baixa renda – faixa 01Não se aplicaNão se aplicaIntermediário",Mercado_Receita!$L$2:$L$225)+SUMIF(Mercado_Receita!$S$2:$S$225,"44743B1ConvencionalResidencialResidencial baixa renda – faixa 01Não se aplicaNão se aplicaNão se aplica",Mercado_Receita!$L$2:$L$225)</f>
        <v>0.3</v>
      </c>
      <c r="T18" s="13">
        <f>SUMIF(Mercado_Receita!$S$2:$S$225,"44774B1ConvencionalResidencialResidencial baixa renda – faixa 01Não se aplicaNão se aplicaPonta",Mercado_Receita!$L$2:$L$225)+SUMIF(Mercado_Receita!$S$2:$S$225,"44774B1ConvencionalResidencialResidencial baixa renda – faixa 01Não se aplicaNão se aplicaFora ponta",Mercado_Receita!$L$2:$L$225)+SUMIF(Mercado_Receita!$S$2:$S$225,"44774B1ConvencionalResidencialResidencial baixa renda – faixa 01Não se aplicaNão se aplicaIntermediário",Mercado_Receita!$L$2:$L$225)+SUMIF(Mercado_Receita!$S$2:$S$225,"44774B1ConvencionalResidencialResidencial baixa renda – faixa 01Não se aplicaNão se aplicaNão se aplica",Mercado_Receita!$L$2:$L$225)</f>
        <v>0.3</v>
      </c>
      <c r="U18" s="13">
        <f t="shared" si="0"/>
        <v>2.37</v>
      </c>
      <c r="V18" s="13"/>
      <c r="W18" s="13"/>
    </row>
    <row r="19" spans="1:23" ht="11.25" customHeight="1" x14ac:dyDescent="0.3">
      <c r="A19" s="77"/>
      <c r="B19" s="77"/>
      <c r="C19" s="77"/>
      <c r="D19" s="12" t="s">
        <v>28</v>
      </c>
      <c r="E19" s="12" t="s">
        <v>25</v>
      </c>
      <c r="F19" s="12" t="s">
        <v>25</v>
      </c>
      <c r="G19" s="13" t="s">
        <v>74</v>
      </c>
      <c r="H19" s="13" t="s">
        <v>68</v>
      </c>
      <c r="I19" s="13">
        <f>SUMIF(Mercado_Receita!$S$2:$S$225,"44440B1ConvencionalResidencialResidencial baixa renda – faixa 02Não se aplicaNão se aplicaPonta",Mercado_Receita!$L$2:$L$225)+SUMIF(Mercado_Receita!$S$2:$S$225,"44440B1ConvencionalResidencialResidencial baixa renda – faixa 02Não se aplicaNão se aplicaFora ponta",Mercado_Receita!$L$2:$L$225)+SUMIF(Mercado_Receita!$S$2:$S$225,"44440B1ConvencionalResidencialResidencial baixa renda – faixa 02Não se aplicaNão se aplicaIntermediário",Mercado_Receita!$L$2:$L$225)+SUMIF(Mercado_Receita!$S$2:$S$225,"44440B1ConvencionalResidencialResidencial baixa renda – faixa 02Não se aplicaNão se aplicaNão se aplica",Mercado_Receita!$L$2:$L$225)</f>
        <v>0.13200000000000001</v>
      </c>
      <c r="J19" s="13">
        <f>SUMIF(Mercado_Receita!$S$2:$S$225,"44470B1ConvencionalResidencialResidencial baixa renda – faixa 02Não se aplicaNão se aplicaPonta",Mercado_Receita!$L$2:$L$225)+SUMIF(Mercado_Receita!$S$2:$S$225,"44470B1ConvencionalResidencialResidencial baixa renda – faixa 02Não se aplicaNão se aplicaFora ponta",Mercado_Receita!$L$2:$L$225)+SUMIF(Mercado_Receita!$S$2:$S$225,"44470B1ConvencionalResidencialResidencial baixa renda – faixa 02Não se aplicaNão se aplicaIntermediário",Mercado_Receita!$L$2:$L$225)+SUMIF(Mercado_Receita!$S$2:$S$225,"44470B1ConvencionalResidencialResidencial baixa renda – faixa 02Não se aplicaNão se aplicaNão se aplica",Mercado_Receita!$L$2:$L$225)</f>
        <v>0.13300000000000001</v>
      </c>
      <c r="K19" s="13">
        <f>SUMIF(Mercado_Receita!$S$2:$S$225,"44501B1ConvencionalResidencialResidencial baixa renda – faixa 02Não se aplicaNão se aplicaPonta",Mercado_Receita!$L$2:$L$225)+SUMIF(Mercado_Receita!$S$2:$S$225,"44501B1ConvencionalResidencialResidencial baixa renda – faixa 02Não se aplicaNão se aplicaFora ponta",Mercado_Receita!$L$2:$L$225)+SUMIF(Mercado_Receita!$S$2:$S$225,"44501B1ConvencionalResidencialResidencial baixa renda – faixa 02Não se aplicaNão se aplicaIntermediário",Mercado_Receita!$L$2:$L$225)+SUMIF(Mercado_Receita!$S$2:$S$225,"44501B1ConvencionalResidencialResidencial baixa renda – faixa 02Não se aplicaNão se aplicaNão se aplica",Mercado_Receita!$L$2:$L$225)</f>
        <v>0.21</v>
      </c>
      <c r="L19" s="13">
        <f>SUMIF(Mercado_Receita!$S$2:$S$225,"44531B1ConvencionalResidencialResidencial baixa renda – faixa 02Não se aplicaNão se aplicaPonta",Mercado_Receita!$L$2:$L$225)+SUMIF(Mercado_Receita!$S$2:$S$225,"44531B1ConvencionalResidencialResidencial baixa renda – faixa 02Não se aplicaNão se aplicaFora ponta",Mercado_Receita!$L$2:$L$225)+SUMIF(Mercado_Receita!$S$2:$S$225,"44531B1ConvencionalResidencialResidencial baixa renda – faixa 02Não se aplicaNão se aplicaIntermediário",Mercado_Receita!$L$2:$L$225)+SUMIF(Mercado_Receita!$S$2:$S$225,"44531B1ConvencionalResidencialResidencial baixa renda – faixa 02Não se aplicaNão se aplicaNão se aplica",Mercado_Receita!$L$2:$L$225)</f>
        <v>0.21</v>
      </c>
      <c r="M19" s="13">
        <f>SUMIF(Mercado_Receita!$S$2:$S$225,"44562B1ConvencionalResidencialResidencial baixa renda – faixa 02Não se aplicaNão se aplicaPonta",Mercado_Receita!$L$2:$L$225)+SUMIF(Mercado_Receita!$S$2:$S$225,"44562B1ConvencionalResidencialResidencial baixa renda – faixa 02Não se aplicaNão se aplicaFora ponta",Mercado_Receita!$L$2:$L$225)+SUMIF(Mercado_Receita!$S$2:$S$225,"44562B1ConvencionalResidencialResidencial baixa renda – faixa 02Não se aplicaNão se aplicaIntermediário",Mercado_Receita!$L$2:$L$225)+SUMIF(Mercado_Receita!$S$2:$S$225,"44562B1ConvencionalResidencialResidencial baixa renda – faixa 02Não se aplicaNão se aplicaNão se aplica",Mercado_Receita!$L$2:$L$225)</f>
        <v>0.21</v>
      </c>
      <c r="N19" s="13">
        <f>SUMIF(Mercado_Receita!$S$2:$S$225,"44593B1ConvencionalResidencialResidencial baixa renda – faixa 02Não se aplicaNão se aplicaPonta",Mercado_Receita!$L$2:$L$225)+SUMIF(Mercado_Receita!$S$2:$S$225,"44593B1ConvencionalResidencialResidencial baixa renda – faixa 02Não se aplicaNão se aplicaFora ponta",Mercado_Receita!$L$2:$L$225)+SUMIF(Mercado_Receita!$S$2:$S$225,"44593B1ConvencionalResidencialResidencial baixa renda – faixa 02Não se aplicaNão se aplicaIntermediário",Mercado_Receita!$L$2:$L$225)+SUMIF(Mercado_Receita!$S$2:$S$225,"44593B1ConvencionalResidencialResidencial baixa renda – faixa 02Não se aplicaNão se aplicaNão se aplica",Mercado_Receita!$L$2:$L$225)</f>
        <v>0.42</v>
      </c>
      <c r="O19" s="13">
        <f>SUMIF(Mercado_Receita!$S$2:$S$225,"44621B1ConvencionalResidencialResidencial baixa renda – faixa 02Não se aplicaNão se aplicaPonta",Mercado_Receita!$L$2:$L$225)+SUMIF(Mercado_Receita!$S$2:$S$225,"44621B1ConvencionalResidencialResidencial baixa renda – faixa 02Não se aplicaNão se aplicaFora ponta",Mercado_Receita!$L$2:$L$225)+SUMIF(Mercado_Receita!$S$2:$S$225,"44621B1ConvencionalResidencialResidencial baixa renda – faixa 02Não se aplicaNão se aplicaIntermediário",Mercado_Receita!$L$2:$L$225)+SUMIF(Mercado_Receita!$S$2:$S$225,"44621B1ConvencionalResidencialResidencial baixa renda – faixa 02Não se aplicaNão se aplicaNão se aplica",Mercado_Receita!$L$2:$L$225)</f>
        <v>0.56100000000000005</v>
      </c>
      <c r="P19" s="13">
        <f>SUMIF(Mercado_Receita!$S$2:$S$225,"44652B1ConvencionalResidencialResidencial baixa renda – faixa 02Não se aplicaNão se aplicaPonta",Mercado_Receita!$L$2:$L$225)+SUMIF(Mercado_Receita!$S$2:$S$225,"44652B1ConvencionalResidencialResidencial baixa renda – faixa 02Não se aplicaNão se aplicaFora ponta",Mercado_Receita!$L$2:$L$225)+SUMIF(Mercado_Receita!$S$2:$S$225,"44652B1ConvencionalResidencialResidencial baixa renda – faixa 02Não se aplicaNão se aplicaIntermediário",Mercado_Receita!$L$2:$L$225)+SUMIF(Mercado_Receita!$S$2:$S$225,"44652B1ConvencionalResidencialResidencial baixa renda – faixa 02Não se aplicaNão se aplicaNão se aplica",Mercado_Receita!$L$2:$L$225)</f>
        <v>0.49199999999999999</v>
      </c>
      <c r="Q19" s="13">
        <f>SUMIF(Mercado_Receita!$S$2:$S$225,"44682B1ConvencionalResidencialResidencial baixa renda – faixa 02Não se aplicaNão se aplicaPonta",Mercado_Receita!$L$2:$L$225)+SUMIF(Mercado_Receita!$S$2:$S$225,"44682B1ConvencionalResidencialResidencial baixa renda – faixa 02Não se aplicaNão se aplicaFora ponta",Mercado_Receita!$L$2:$L$225)+SUMIF(Mercado_Receita!$S$2:$S$225,"44682B1ConvencionalResidencialResidencial baixa renda – faixa 02Não se aplicaNão se aplicaIntermediário",Mercado_Receita!$L$2:$L$225)+SUMIF(Mercado_Receita!$S$2:$S$225,"44682B1ConvencionalResidencialResidencial baixa renda – faixa 02Não se aplicaNão se aplicaNão se aplica",Mercado_Receita!$L$2:$L$225)</f>
        <v>0.495</v>
      </c>
      <c r="R19" s="13">
        <f>SUMIF(Mercado_Receita!$S$2:$S$225,"44713B1ConvencionalResidencialResidencial baixa renda – faixa 02Não se aplicaNão se aplicaPonta",Mercado_Receita!$L$2:$L$225)+SUMIF(Mercado_Receita!$S$2:$S$225,"44713B1ConvencionalResidencialResidencial baixa renda – faixa 02Não se aplicaNão se aplicaFora ponta",Mercado_Receita!$L$2:$L$225)+SUMIF(Mercado_Receita!$S$2:$S$225,"44713B1ConvencionalResidencialResidencial baixa renda – faixa 02Não se aplicaNão se aplicaIntermediário",Mercado_Receita!$L$2:$L$225)+SUMIF(Mercado_Receita!$S$2:$S$225,"44713B1ConvencionalResidencialResidencial baixa renda – faixa 02Não se aplicaNão se aplicaNão se aplica",Mercado_Receita!$L$2:$L$225)</f>
        <v>0.48099999999999998</v>
      </c>
      <c r="S19" s="13">
        <f>SUMIF(Mercado_Receita!$S$2:$S$225,"44743B1ConvencionalResidencialResidencial baixa renda – faixa 02Não se aplicaNão se aplicaPonta",Mercado_Receita!$L$2:$L$225)+SUMIF(Mercado_Receita!$S$2:$S$225,"44743B1ConvencionalResidencialResidencial baixa renda – faixa 02Não se aplicaNão se aplicaFora ponta",Mercado_Receita!$L$2:$L$225)+SUMIF(Mercado_Receita!$S$2:$S$225,"44743B1ConvencionalResidencialResidencial baixa renda – faixa 02Não se aplicaNão se aplicaIntermediário",Mercado_Receita!$L$2:$L$225)+SUMIF(Mercado_Receita!$S$2:$S$225,"44743B1ConvencionalResidencialResidencial baixa renda – faixa 02Não se aplicaNão se aplicaNão se aplica",Mercado_Receita!$L$2:$L$225)</f>
        <v>0.48899999999999999</v>
      </c>
      <c r="T19" s="13">
        <f>SUMIF(Mercado_Receita!$S$2:$S$225,"44774B1ConvencionalResidencialResidencial baixa renda – faixa 02Não se aplicaNão se aplicaPonta",Mercado_Receita!$L$2:$L$225)+SUMIF(Mercado_Receita!$S$2:$S$225,"44774B1ConvencionalResidencialResidencial baixa renda – faixa 02Não se aplicaNão se aplicaFora ponta",Mercado_Receita!$L$2:$L$225)+SUMIF(Mercado_Receita!$S$2:$S$225,"44774B1ConvencionalResidencialResidencial baixa renda – faixa 02Não se aplicaNão se aplicaIntermediário",Mercado_Receita!$L$2:$L$225)+SUMIF(Mercado_Receita!$S$2:$S$225,"44774B1ConvencionalResidencialResidencial baixa renda – faixa 02Não se aplicaNão se aplicaNão se aplica",Mercado_Receita!$L$2:$L$225)</f>
        <v>0.49399999999999999</v>
      </c>
      <c r="U19" s="13">
        <f t="shared" si="0"/>
        <v>4.327</v>
      </c>
      <c r="V19" s="13"/>
      <c r="W19" s="13"/>
    </row>
    <row r="20" spans="1:23" ht="11.25" customHeight="1" x14ac:dyDescent="0.3">
      <c r="A20" s="77"/>
      <c r="B20" s="77"/>
      <c r="C20" s="77"/>
      <c r="D20" s="12" t="s">
        <v>29</v>
      </c>
      <c r="E20" s="12" t="s">
        <v>25</v>
      </c>
      <c r="F20" s="12" t="s">
        <v>25</v>
      </c>
      <c r="G20" s="13" t="s">
        <v>74</v>
      </c>
      <c r="H20" s="13" t="s">
        <v>68</v>
      </c>
      <c r="I20" s="13">
        <f>SUMIF(Mercado_Receita!$S$2:$S$225,"44440B1ConvencionalResidencialResidencial baixa renda – faixa 03Não se aplicaNão se aplicaPonta",Mercado_Receita!$L$2:$L$225)+SUMIF(Mercado_Receita!$S$2:$S$225,"44440B1ConvencionalResidencialResidencial baixa renda – faixa 03Não se aplicaNão se aplicaFora ponta",Mercado_Receita!$L$2:$L$225)+SUMIF(Mercado_Receita!$S$2:$S$225,"44440B1ConvencionalResidencialResidencial baixa renda – faixa 03Não se aplicaNão se aplicaIntermediário",Mercado_Receita!$L$2:$L$225)+SUMIF(Mercado_Receita!$S$2:$S$225,"44440B1ConvencionalResidencialResidencial baixa renda – faixa 03Não se aplicaNão se aplicaNão se aplica",Mercado_Receita!$L$2:$L$225)</f>
        <v>0.12</v>
      </c>
      <c r="J20" s="13">
        <f>SUMIF(Mercado_Receita!$S$2:$S$225,"44470B1ConvencionalResidencialResidencial baixa renda – faixa 03Não se aplicaNão se aplicaPonta",Mercado_Receita!$L$2:$L$225)+SUMIF(Mercado_Receita!$S$2:$S$225,"44470B1ConvencionalResidencialResidencial baixa renda – faixa 03Não se aplicaNão se aplicaFora ponta",Mercado_Receita!$L$2:$L$225)+SUMIF(Mercado_Receita!$S$2:$S$225,"44470B1ConvencionalResidencialResidencial baixa renda – faixa 03Não se aplicaNão se aplicaIntermediário",Mercado_Receita!$L$2:$L$225)+SUMIF(Mercado_Receita!$S$2:$S$225,"44470B1ConvencionalResidencialResidencial baixa renda – faixa 03Não se aplicaNão se aplicaNão se aplica",Mercado_Receita!$L$2:$L$225)</f>
        <v>0.106</v>
      </c>
      <c r="K20" s="13">
        <f>SUMIF(Mercado_Receita!$S$2:$S$225,"44501B1ConvencionalResidencialResidencial baixa renda – faixa 03Não se aplicaNão se aplicaPonta",Mercado_Receita!$L$2:$L$225)+SUMIF(Mercado_Receita!$S$2:$S$225,"44501B1ConvencionalResidencialResidencial baixa renda – faixa 03Não se aplicaNão se aplicaFora ponta",Mercado_Receita!$L$2:$L$225)+SUMIF(Mercado_Receita!$S$2:$S$225,"44501B1ConvencionalResidencialResidencial baixa renda – faixa 03Não se aplicaNão se aplicaIntermediário",Mercado_Receita!$L$2:$L$225)+SUMIF(Mercado_Receita!$S$2:$S$225,"44501B1ConvencionalResidencialResidencial baixa renda – faixa 03Não se aplicaNão se aplicaNão se aplica",Mercado_Receita!$L$2:$L$225)</f>
        <v>0.215</v>
      </c>
      <c r="L20" s="13">
        <f>SUMIF(Mercado_Receita!$S$2:$S$225,"44531B1ConvencionalResidencialResidencial baixa renda – faixa 03Não se aplicaNão se aplicaPonta",Mercado_Receita!$L$2:$L$225)+SUMIF(Mercado_Receita!$S$2:$S$225,"44531B1ConvencionalResidencialResidencial baixa renda – faixa 03Não se aplicaNão se aplicaFora ponta",Mercado_Receita!$L$2:$L$225)+SUMIF(Mercado_Receita!$S$2:$S$225,"44531B1ConvencionalResidencialResidencial baixa renda – faixa 03Não se aplicaNão se aplicaIntermediário",Mercado_Receita!$L$2:$L$225)+SUMIF(Mercado_Receita!$S$2:$S$225,"44531B1ConvencionalResidencialResidencial baixa renda – faixa 03Não se aplicaNão se aplicaNão se aplica",Mercado_Receita!$L$2:$L$225)</f>
        <v>0.215</v>
      </c>
      <c r="M20" s="13">
        <f>SUMIF(Mercado_Receita!$S$2:$S$225,"44562B1ConvencionalResidencialResidencial baixa renda – faixa 03Não se aplicaNão se aplicaPonta",Mercado_Receita!$L$2:$L$225)+SUMIF(Mercado_Receita!$S$2:$S$225,"44562B1ConvencionalResidencialResidencial baixa renda – faixa 03Não se aplicaNão se aplicaFora ponta",Mercado_Receita!$L$2:$L$225)+SUMIF(Mercado_Receita!$S$2:$S$225,"44562B1ConvencionalResidencialResidencial baixa renda – faixa 03Não se aplicaNão se aplicaIntermediário",Mercado_Receita!$L$2:$L$225)+SUMIF(Mercado_Receita!$S$2:$S$225,"44562B1ConvencionalResidencialResidencial baixa renda – faixa 03Não se aplicaNão se aplicaNão se aplica",Mercado_Receita!$L$2:$L$225)</f>
        <v>0.29799999999999999</v>
      </c>
      <c r="N20" s="13">
        <f>SUMIF(Mercado_Receita!$S$2:$S$225,"44593B1ConvencionalResidencialResidencial baixa renda – faixa 03Não se aplicaNão se aplicaPonta",Mercado_Receita!$L$2:$L$225)+SUMIF(Mercado_Receita!$S$2:$S$225,"44593B1ConvencionalResidencialResidencial baixa renda – faixa 03Não se aplicaNão se aplicaFora ponta",Mercado_Receita!$L$2:$L$225)+SUMIF(Mercado_Receita!$S$2:$S$225,"44593B1ConvencionalResidencialResidencial baixa renda – faixa 03Não se aplicaNão se aplicaIntermediário",Mercado_Receita!$L$2:$L$225)+SUMIF(Mercado_Receita!$S$2:$S$225,"44593B1ConvencionalResidencialResidencial baixa renda – faixa 03Não se aplicaNão se aplicaNão se aplica",Mercado_Receita!$L$2:$L$225)</f>
        <v>0.56499999999999995</v>
      </c>
      <c r="O20" s="13">
        <f>SUMIF(Mercado_Receita!$S$2:$S$225,"44621B1ConvencionalResidencialResidencial baixa renda – faixa 03Não se aplicaNão se aplicaPonta",Mercado_Receita!$L$2:$L$225)+SUMIF(Mercado_Receita!$S$2:$S$225,"44621B1ConvencionalResidencialResidencial baixa renda – faixa 03Não se aplicaNão se aplicaFora ponta",Mercado_Receita!$L$2:$L$225)+SUMIF(Mercado_Receita!$S$2:$S$225,"44621B1ConvencionalResidencialResidencial baixa renda – faixa 03Não se aplicaNão se aplicaIntermediário",Mercado_Receita!$L$2:$L$225)+SUMIF(Mercado_Receita!$S$2:$S$225,"44621B1ConvencionalResidencialResidencial baixa renda – faixa 03Não se aplicaNão se aplicaNão se aplica",Mercado_Receita!$L$2:$L$225)</f>
        <v>0.77600000000000002</v>
      </c>
      <c r="P20" s="13">
        <f>SUMIF(Mercado_Receita!$S$2:$S$225,"44652B1ConvencionalResidencialResidencial baixa renda – faixa 03Não se aplicaNão se aplicaPonta",Mercado_Receita!$L$2:$L$225)+SUMIF(Mercado_Receita!$S$2:$S$225,"44652B1ConvencionalResidencialResidencial baixa renda – faixa 03Não se aplicaNão se aplicaFora ponta",Mercado_Receita!$L$2:$L$225)+SUMIF(Mercado_Receita!$S$2:$S$225,"44652B1ConvencionalResidencialResidencial baixa renda – faixa 03Não se aplicaNão se aplicaIntermediário",Mercado_Receita!$L$2:$L$225)+SUMIF(Mercado_Receita!$S$2:$S$225,"44652B1ConvencionalResidencialResidencial baixa renda – faixa 03Não se aplicaNão se aplicaNão se aplica",Mercado_Receita!$L$2:$L$225)</f>
        <v>0.66600000000000004</v>
      </c>
      <c r="Q20" s="13">
        <f>SUMIF(Mercado_Receita!$S$2:$S$225,"44682B1ConvencionalResidencialResidencial baixa renda – faixa 03Não se aplicaNão se aplicaPonta",Mercado_Receita!$L$2:$L$225)+SUMIF(Mercado_Receita!$S$2:$S$225,"44682B1ConvencionalResidencialResidencial baixa renda – faixa 03Não se aplicaNão se aplicaFora ponta",Mercado_Receita!$L$2:$L$225)+SUMIF(Mercado_Receita!$S$2:$S$225,"44682B1ConvencionalResidencialResidencial baixa renda – faixa 03Não se aplicaNão se aplicaIntermediário",Mercado_Receita!$L$2:$L$225)+SUMIF(Mercado_Receita!$S$2:$S$225,"44682B1ConvencionalResidencialResidencial baixa renda – faixa 03Não se aplicaNão se aplicaNão se aplica",Mercado_Receita!$L$2:$L$225)</f>
        <v>0.71099999999999997</v>
      </c>
      <c r="R20" s="13">
        <f>SUMIF(Mercado_Receita!$S$2:$S$225,"44713B1ConvencionalResidencialResidencial baixa renda – faixa 03Não se aplicaNão se aplicaPonta",Mercado_Receita!$L$2:$L$225)+SUMIF(Mercado_Receita!$S$2:$S$225,"44713B1ConvencionalResidencialResidencial baixa renda – faixa 03Não se aplicaNão se aplicaFora ponta",Mercado_Receita!$L$2:$L$225)+SUMIF(Mercado_Receita!$S$2:$S$225,"44713B1ConvencionalResidencialResidencial baixa renda – faixa 03Não se aplicaNão se aplicaIntermediário",Mercado_Receita!$L$2:$L$225)+SUMIF(Mercado_Receita!$S$2:$S$225,"44713B1ConvencionalResidencialResidencial baixa renda – faixa 03Não se aplicaNão se aplicaNão se aplica",Mercado_Receita!$L$2:$L$225)</f>
        <v>0.69599999999999995</v>
      </c>
      <c r="S20" s="13">
        <f>SUMIF(Mercado_Receita!$S$2:$S$225,"44743B1ConvencionalResidencialResidencial baixa renda – faixa 03Não se aplicaNão se aplicaPonta",Mercado_Receita!$L$2:$L$225)+SUMIF(Mercado_Receita!$S$2:$S$225,"44743B1ConvencionalResidencialResidencial baixa renda – faixa 03Não se aplicaNão se aplicaFora ponta",Mercado_Receita!$L$2:$L$225)+SUMIF(Mercado_Receita!$S$2:$S$225,"44743B1ConvencionalResidencialResidencial baixa renda – faixa 03Não se aplicaNão se aplicaIntermediário",Mercado_Receita!$L$2:$L$225)+SUMIF(Mercado_Receita!$S$2:$S$225,"44743B1ConvencionalResidencialResidencial baixa renda – faixa 03Não se aplicaNão se aplicaNão se aplica",Mercado_Receita!$L$2:$L$225)</f>
        <v>0.7</v>
      </c>
      <c r="T20" s="13">
        <f>SUMIF(Mercado_Receita!$S$2:$S$225,"44774B1ConvencionalResidencialResidencial baixa renda – faixa 03Não se aplicaNão se aplicaPonta",Mercado_Receita!$L$2:$L$225)+SUMIF(Mercado_Receita!$S$2:$S$225,"44774B1ConvencionalResidencialResidencial baixa renda – faixa 03Não se aplicaNão se aplicaFora ponta",Mercado_Receita!$L$2:$L$225)+SUMIF(Mercado_Receita!$S$2:$S$225,"44774B1ConvencionalResidencialResidencial baixa renda – faixa 03Não se aplicaNão se aplicaIntermediário",Mercado_Receita!$L$2:$L$225)+SUMIF(Mercado_Receita!$S$2:$S$225,"44774B1ConvencionalResidencialResidencial baixa renda – faixa 03Não se aplicaNão se aplicaNão se aplica",Mercado_Receita!$L$2:$L$225)</f>
        <v>0.72499999999999998</v>
      </c>
      <c r="U20" s="13">
        <f t="shared" si="0"/>
        <v>5.7929999999999993</v>
      </c>
      <c r="V20" s="13"/>
      <c r="W20" s="13"/>
    </row>
    <row r="21" spans="1:23" ht="11.25" customHeight="1" x14ac:dyDescent="0.3">
      <c r="A21" s="77"/>
      <c r="B21" s="77"/>
      <c r="C21" s="77"/>
      <c r="D21" s="12" t="s">
        <v>30</v>
      </c>
      <c r="E21" s="12" t="s">
        <v>25</v>
      </c>
      <c r="F21" s="12" t="s">
        <v>25</v>
      </c>
      <c r="G21" s="13" t="s">
        <v>74</v>
      </c>
      <c r="H21" s="13" t="s">
        <v>68</v>
      </c>
      <c r="I21" s="13">
        <f>SUMIF(Mercado_Receita!$S$2:$S$225,"44440B1ConvencionalResidencialResidencial baixa renda – faixa 04Não se aplicaNão se aplicaPonta",Mercado_Receita!$L$2:$L$225)+SUMIF(Mercado_Receita!$S$2:$S$225,"44440B1ConvencionalResidencialResidencial baixa renda – faixa 04Não se aplicaNão se aplicaFora ponta",Mercado_Receita!$L$2:$L$225)+SUMIF(Mercado_Receita!$S$2:$S$225,"44440B1ConvencionalResidencialResidencial baixa renda – faixa 04Não se aplicaNão se aplicaIntermediário",Mercado_Receita!$L$2:$L$225)+SUMIF(Mercado_Receita!$S$2:$S$225,"44440B1ConvencionalResidencialResidencial baixa renda – faixa 04Não se aplicaNão se aplicaNão se aplica",Mercado_Receita!$L$2:$L$225)</f>
        <v>6.0000000000000001E-3</v>
      </c>
      <c r="J21" s="13">
        <f>SUMIF(Mercado_Receita!$S$2:$S$225,"44470B1ConvencionalResidencialResidencial baixa renda – faixa 04Não se aplicaNão se aplicaPonta",Mercado_Receita!$L$2:$L$225)+SUMIF(Mercado_Receita!$S$2:$S$225,"44470B1ConvencionalResidencialResidencial baixa renda – faixa 04Não se aplicaNão se aplicaFora ponta",Mercado_Receita!$L$2:$L$225)+SUMIF(Mercado_Receita!$S$2:$S$225,"44470B1ConvencionalResidencialResidencial baixa renda – faixa 04Não se aplicaNão se aplicaIntermediário",Mercado_Receita!$L$2:$L$225)+SUMIF(Mercado_Receita!$S$2:$S$225,"44470B1ConvencionalResidencialResidencial baixa renda – faixa 04Não se aplicaNão se aplicaNão se aplica",Mercado_Receita!$L$2:$L$225)</f>
        <v>0</v>
      </c>
      <c r="K21" s="13">
        <f>SUMIF(Mercado_Receita!$S$2:$S$225,"44501B1ConvencionalResidencialResidencial baixa renda – faixa 04Não se aplicaNão se aplicaPonta",Mercado_Receita!$L$2:$L$225)+SUMIF(Mercado_Receita!$S$2:$S$225,"44501B1ConvencionalResidencialResidencial baixa renda – faixa 04Não se aplicaNão se aplicaFora ponta",Mercado_Receita!$L$2:$L$225)+SUMIF(Mercado_Receita!$S$2:$S$225,"44501B1ConvencionalResidencialResidencial baixa renda – faixa 04Não se aplicaNão se aplicaIntermediário",Mercado_Receita!$L$2:$L$225)+SUMIF(Mercado_Receita!$S$2:$S$225,"44501B1ConvencionalResidencialResidencial baixa renda – faixa 04Não se aplicaNão se aplicaNão se aplica",Mercado_Receita!$L$2:$L$225)</f>
        <v>0</v>
      </c>
      <c r="L21" s="13">
        <f>SUMIF(Mercado_Receita!$S$2:$S$225,"44531B1ConvencionalResidencialResidencial baixa renda – faixa 04Não se aplicaNão se aplicaPonta",Mercado_Receita!$L$2:$L$225)+SUMIF(Mercado_Receita!$S$2:$S$225,"44531B1ConvencionalResidencialResidencial baixa renda – faixa 04Não se aplicaNão se aplicaFora ponta",Mercado_Receita!$L$2:$L$225)+SUMIF(Mercado_Receita!$S$2:$S$225,"44531B1ConvencionalResidencialResidencial baixa renda – faixa 04Não se aplicaNão se aplicaIntermediário",Mercado_Receita!$L$2:$L$225)+SUMIF(Mercado_Receita!$S$2:$S$225,"44531B1ConvencionalResidencialResidencial baixa renda – faixa 04Não se aplicaNão se aplicaNão se aplica",Mercado_Receita!$L$2:$L$225)</f>
        <v>1.2999999999999999E-2</v>
      </c>
      <c r="M21" s="13">
        <f>SUMIF(Mercado_Receita!$S$2:$S$225,"44562B1ConvencionalResidencialResidencial baixa renda – faixa 04Não se aplicaNão se aplicaPonta",Mercado_Receita!$L$2:$L$225)+SUMIF(Mercado_Receita!$S$2:$S$225,"44562B1ConvencionalResidencialResidencial baixa renda – faixa 04Não se aplicaNão se aplicaFora ponta",Mercado_Receita!$L$2:$L$225)+SUMIF(Mercado_Receita!$S$2:$S$225,"44562B1ConvencionalResidencialResidencial baixa renda – faixa 04Não se aplicaNão se aplicaIntermediário",Mercado_Receita!$L$2:$L$225)+SUMIF(Mercado_Receita!$S$2:$S$225,"44562B1ConvencionalResidencialResidencial baixa renda – faixa 04Não se aplicaNão se aplicaNão se aplica",Mercado_Receita!$L$2:$L$225)</f>
        <v>5.6000000000000001E-2</v>
      </c>
      <c r="N21" s="13">
        <f>SUMIF(Mercado_Receita!$S$2:$S$225,"44593B1ConvencionalResidencialResidencial baixa renda – faixa 04Não se aplicaNão se aplicaPonta",Mercado_Receita!$L$2:$L$225)+SUMIF(Mercado_Receita!$S$2:$S$225,"44593B1ConvencionalResidencialResidencial baixa renda – faixa 04Não se aplicaNão se aplicaFora ponta",Mercado_Receita!$L$2:$L$225)+SUMIF(Mercado_Receita!$S$2:$S$225,"44593B1ConvencionalResidencialResidencial baixa renda – faixa 04Não se aplicaNão se aplicaIntermediário",Mercado_Receita!$L$2:$L$225)+SUMIF(Mercado_Receita!$S$2:$S$225,"44593B1ConvencionalResidencialResidencial baixa renda – faixa 04Não se aplicaNão se aplicaNão se aplica",Mercado_Receita!$L$2:$L$225)</f>
        <v>0.249</v>
      </c>
      <c r="O21" s="13">
        <f>SUMIF(Mercado_Receita!$S$2:$S$225,"44621B1ConvencionalResidencialResidencial baixa renda – faixa 04Não se aplicaNão se aplicaPonta",Mercado_Receita!$L$2:$L$225)+SUMIF(Mercado_Receita!$S$2:$S$225,"44621B1ConvencionalResidencialResidencial baixa renda – faixa 04Não se aplicaNão se aplicaFora ponta",Mercado_Receita!$L$2:$L$225)+SUMIF(Mercado_Receita!$S$2:$S$225,"44621B1ConvencionalResidencialResidencial baixa renda – faixa 04Não se aplicaNão se aplicaIntermediário",Mercado_Receita!$L$2:$L$225)+SUMIF(Mercado_Receita!$S$2:$S$225,"44621B1ConvencionalResidencialResidencial baixa renda – faixa 04Não se aplicaNão se aplicaNão se aplica",Mercado_Receita!$L$2:$L$225)</f>
        <v>0.17799999999999999</v>
      </c>
      <c r="P21" s="13">
        <f>SUMIF(Mercado_Receita!$S$2:$S$225,"44652B1ConvencionalResidencialResidencial baixa renda – faixa 04Não se aplicaNão se aplicaPonta",Mercado_Receita!$L$2:$L$225)+SUMIF(Mercado_Receita!$S$2:$S$225,"44652B1ConvencionalResidencialResidencial baixa renda – faixa 04Não se aplicaNão se aplicaFora ponta",Mercado_Receita!$L$2:$L$225)+SUMIF(Mercado_Receita!$S$2:$S$225,"44652B1ConvencionalResidencialResidencial baixa renda – faixa 04Não se aplicaNão se aplicaIntermediário",Mercado_Receita!$L$2:$L$225)+SUMIF(Mercado_Receita!$S$2:$S$225,"44652B1ConvencionalResidencialResidencial baixa renda – faixa 04Não se aplicaNão se aplicaNão se aplica",Mercado_Receita!$L$2:$L$225)</f>
        <v>0.13900000000000001</v>
      </c>
      <c r="Q21" s="13">
        <f>SUMIF(Mercado_Receita!$S$2:$S$225,"44682B1ConvencionalResidencialResidencial baixa renda – faixa 04Não se aplicaNão se aplicaPonta",Mercado_Receita!$L$2:$L$225)+SUMIF(Mercado_Receita!$S$2:$S$225,"44682B1ConvencionalResidencialResidencial baixa renda – faixa 04Não se aplicaNão se aplicaFora ponta",Mercado_Receita!$L$2:$L$225)+SUMIF(Mercado_Receita!$S$2:$S$225,"44682B1ConvencionalResidencialResidencial baixa renda – faixa 04Não se aplicaNão se aplicaIntermediário",Mercado_Receita!$L$2:$L$225)+SUMIF(Mercado_Receita!$S$2:$S$225,"44682B1ConvencionalResidencialResidencial baixa renda – faixa 04Não se aplicaNão se aplicaNão se aplica",Mercado_Receita!$L$2:$L$225)</f>
        <v>0.20200000000000001</v>
      </c>
      <c r="R21" s="13">
        <f>SUMIF(Mercado_Receita!$S$2:$S$225,"44713B1ConvencionalResidencialResidencial baixa renda – faixa 04Não se aplicaNão se aplicaPonta",Mercado_Receita!$L$2:$L$225)+SUMIF(Mercado_Receita!$S$2:$S$225,"44713B1ConvencionalResidencialResidencial baixa renda – faixa 04Não se aplicaNão se aplicaFora ponta",Mercado_Receita!$L$2:$L$225)+SUMIF(Mercado_Receita!$S$2:$S$225,"44713B1ConvencionalResidencialResidencial baixa renda – faixa 04Não se aplicaNão se aplicaIntermediário",Mercado_Receita!$L$2:$L$225)+SUMIF(Mercado_Receita!$S$2:$S$225,"44713B1ConvencionalResidencialResidencial baixa renda – faixa 04Não se aplicaNão se aplicaNão se aplica",Mercado_Receita!$L$2:$L$225)</f>
        <v>0.62</v>
      </c>
      <c r="S21" s="13">
        <f>SUMIF(Mercado_Receita!$S$2:$S$225,"44743B1ConvencionalResidencialResidencial baixa renda – faixa 04Não se aplicaNão se aplicaPonta",Mercado_Receita!$L$2:$L$225)+SUMIF(Mercado_Receita!$S$2:$S$225,"44743B1ConvencionalResidencialResidencial baixa renda – faixa 04Não se aplicaNão se aplicaFora ponta",Mercado_Receita!$L$2:$L$225)+SUMIF(Mercado_Receita!$S$2:$S$225,"44743B1ConvencionalResidencialResidencial baixa renda – faixa 04Não se aplicaNão se aplicaIntermediário",Mercado_Receita!$L$2:$L$225)+SUMIF(Mercado_Receita!$S$2:$S$225,"44743B1ConvencionalResidencialResidencial baixa renda – faixa 04Não se aplicaNão se aplicaNão se aplica",Mercado_Receita!$L$2:$L$225)</f>
        <v>0.21</v>
      </c>
      <c r="T21" s="13">
        <f>SUMIF(Mercado_Receita!$S$2:$S$225,"44774B1ConvencionalResidencialResidencial baixa renda – faixa 04Não se aplicaNão se aplicaPonta",Mercado_Receita!$L$2:$L$225)+SUMIF(Mercado_Receita!$S$2:$S$225,"44774B1ConvencionalResidencialResidencial baixa renda – faixa 04Não se aplicaNão se aplicaFora ponta",Mercado_Receita!$L$2:$L$225)+SUMIF(Mercado_Receita!$S$2:$S$225,"44774B1ConvencionalResidencialResidencial baixa renda – faixa 04Não se aplicaNão se aplicaIntermediário",Mercado_Receita!$L$2:$L$225)+SUMIF(Mercado_Receita!$S$2:$S$225,"44774B1ConvencionalResidencialResidencial baixa renda – faixa 04Não se aplicaNão se aplicaNão se aplica",Mercado_Receita!$L$2:$L$225)</f>
        <v>0.42599999999999999</v>
      </c>
      <c r="U21" s="13">
        <f t="shared" si="0"/>
        <v>2.0990000000000002</v>
      </c>
      <c r="V21" s="13"/>
      <c r="W21" s="13"/>
    </row>
    <row r="22" spans="1:23" ht="11.25" customHeight="1" x14ac:dyDescent="0.3">
      <c r="A22" s="77"/>
      <c r="B22" s="76" t="s">
        <v>84</v>
      </c>
      <c r="C22" s="76" t="s">
        <v>24</v>
      </c>
      <c r="D22" s="12" t="s">
        <v>24</v>
      </c>
      <c r="E22" s="12" t="s">
        <v>25</v>
      </c>
      <c r="F22" s="12" t="s">
        <v>25</v>
      </c>
      <c r="G22" s="13" t="s">
        <v>74</v>
      </c>
      <c r="H22" s="13" t="s">
        <v>68</v>
      </c>
      <c r="I22" s="13">
        <f>SUMIF(Mercado_Receita!$S$2:$S$225,"44440B1Convencional pré-pagamentoResidencialResidencialNão se aplicaNão se aplicaPonta",Mercado_Receita!$L$2:$L$225)+SUMIF(Mercado_Receita!$S$2:$S$225,"44440B1Convencional pré-pagamentoResidencialResidencialNão se aplicaNão se aplicaFora ponta",Mercado_Receita!$L$2:$L$225)+SUMIF(Mercado_Receita!$S$2:$S$225,"44440B1Convencional pré-pagamentoResidencialResidencialNão se aplicaNão se aplicaIntermediário",Mercado_Receita!$L$2:$L$225)+SUMIF(Mercado_Receita!$S$2:$S$225,"44440B1Convencional pré-pagamentoResidencialResidencialNão se aplicaNão se aplicaNão se aplica",Mercado_Receita!$L$2:$L$225)</f>
        <v>0</v>
      </c>
      <c r="J22" s="13">
        <f>SUMIF(Mercado_Receita!$S$2:$S$225,"44470B1Convencional pré-pagamentoResidencialResidencialNão se aplicaNão se aplicaPonta",Mercado_Receita!$L$2:$L$225)+SUMIF(Mercado_Receita!$S$2:$S$225,"44470B1Convencional pré-pagamentoResidencialResidencialNão se aplicaNão se aplicaFora ponta",Mercado_Receita!$L$2:$L$225)+SUMIF(Mercado_Receita!$S$2:$S$225,"44470B1Convencional pré-pagamentoResidencialResidencialNão se aplicaNão se aplicaIntermediário",Mercado_Receita!$L$2:$L$225)+SUMIF(Mercado_Receita!$S$2:$S$225,"44470B1Convencional pré-pagamentoResidencialResidencialNão se aplicaNão se aplicaNão se aplica",Mercado_Receita!$L$2:$L$225)</f>
        <v>0</v>
      </c>
      <c r="K22" s="13">
        <f>SUMIF(Mercado_Receita!$S$2:$S$225,"44501B1Convencional pré-pagamentoResidencialResidencialNão se aplicaNão se aplicaPonta",Mercado_Receita!$L$2:$L$225)+SUMIF(Mercado_Receita!$S$2:$S$225,"44501B1Convencional pré-pagamentoResidencialResidencialNão se aplicaNão se aplicaFora ponta",Mercado_Receita!$L$2:$L$225)+SUMIF(Mercado_Receita!$S$2:$S$225,"44501B1Convencional pré-pagamentoResidencialResidencialNão se aplicaNão se aplicaIntermediário",Mercado_Receita!$L$2:$L$225)+SUMIF(Mercado_Receita!$S$2:$S$225,"44501B1Convencional pré-pagamentoResidencialResidencialNão se aplicaNão se aplicaNão se aplica",Mercado_Receita!$L$2:$L$225)</f>
        <v>0</v>
      </c>
      <c r="L22" s="13">
        <f>SUMIF(Mercado_Receita!$S$2:$S$225,"44531B1Convencional pré-pagamentoResidencialResidencialNão se aplicaNão se aplicaPonta",Mercado_Receita!$L$2:$L$225)+SUMIF(Mercado_Receita!$S$2:$S$225,"44531B1Convencional pré-pagamentoResidencialResidencialNão se aplicaNão se aplicaFora ponta",Mercado_Receita!$L$2:$L$225)+SUMIF(Mercado_Receita!$S$2:$S$225,"44531B1Convencional pré-pagamentoResidencialResidencialNão se aplicaNão se aplicaIntermediário",Mercado_Receita!$L$2:$L$225)+SUMIF(Mercado_Receita!$S$2:$S$225,"44531B1Convencional pré-pagamentoResidencialResidencialNão se aplicaNão se aplicaNão se aplica",Mercado_Receita!$L$2:$L$225)</f>
        <v>0</v>
      </c>
      <c r="M22" s="13">
        <f>SUMIF(Mercado_Receita!$S$2:$S$225,"44562B1Convencional pré-pagamentoResidencialResidencialNão se aplicaNão se aplicaPonta",Mercado_Receita!$L$2:$L$225)+SUMIF(Mercado_Receita!$S$2:$S$225,"44562B1Convencional pré-pagamentoResidencialResidencialNão se aplicaNão se aplicaFora ponta",Mercado_Receita!$L$2:$L$225)+SUMIF(Mercado_Receita!$S$2:$S$225,"44562B1Convencional pré-pagamentoResidencialResidencialNão se aplicaNão se aplicaIntermediário",Mercado_Receita!$L$2:$L$225)+SUMIF(Mercado_Receita!$S$2:$S$225,"44562B1Convencional pré-pagamentoResidencialResidencialNão se aplicaNão se aplicaNão se aplica",Mercado_Receita!$L$2:$L$225)</f>
        <v>0</v>
      </c>
      <c r="N22" s="13">
        <f>SUMIF(Mercado_Receita!$S$2:$S$225,"44593B1Convencional pré-pagamentoResidencialResidencialNão se aplicaNão se aplicaPonta",Mercado_Receita!$L$2:$L$225)+SUMIF(Mercado_Receita!$S$2:$S$225,"44593B1Convencional pré-pagamentoResidencialResidencialNão se aplicaNão se aplicaFora ponta",Mercado_Receita!$L$2:$L$225)+SUMIF(Mercado_Receita!$S$2:$S$225,"44593B1Convencional pré-pagamentoResidencialResidencialNão se aplicaNão se aplicaIntermediário",Mercado_Receita!$L$2:$L$225)+SUMIF(Mercado_Receita!$S$2:$S$225,"44593B1Convencional pré-pagamentoResidencialResidencialNão se aplicaNão se aplicaNão se aplica",Mercado_Receita!$L$2:$L$225)</f>
        <v>0</v>
      </c>
      <c r="O22" s="13">
        <f>SUMIF(Mercado_Receita!$S$2:$S$225,"44621B1Convencional pré-pagamentoResidencialResidencialNão se aplicaNão se aplicaPonta",Mercado_Receita!$L$2:$L$225)+SUMIF(Mercado_Receita!$S$2:$S$225,"44621B1Convencional pré-pagamentoResidencialResidencialNão se aplicaNão se aplicaFora ponta",Mercado_Receita!$L$2:$L$225)+SUMIF(Mercado_Receita!$S$2:$S$225,"44621B1Convencional pré-pagamentoResidencialResidencialNão se aplicaNão se aplicaIntermediário",Mercado_Receita!$L$2:$L$225)+SUMIF(Mercado_Receita!$S$2:$S$225,"44621B1Convencional pré-pagamentoResidencialResidencialNão se aplicaNão se aplicaNão se aplica",Mercado_Receita!$L$2:$L$225)</f>
        <v>0</v>
      </c>
      <c r="P22" s="13">
        <f>SUMIF(Mercado_Receita!$S$2:$S$225,"44652B1Convencional pré-pagamentoResidencialResidencialNão se aplicaNão se aplicaPonta",Mercado_Receita!$L$2:$L$225)+SUMIF(Mercado_Receita!$S$2:$S$225,"44652B1Convencional pré-pagamentoResidencialResidencialNão se aplicaNão se aplicaFora ponta",Mercado_Receita!$L$2:$L$225)+SUMIF(Mercado_Receita!$S$2:$S$225,"44652B1Convencional pré-pagamentoResidencialResidencialNão se aplicaNão se aplicaIntermediário",Mercado_Receita!$L$2:$L$225)+SUMIF(Mercado_Receita!$S$2:$S$225,"44652B1Convencional pré-pagamentoResidencialResidencialNão se aplicaNão se aplicaNão se aplica",Mercado_Receita!$L$2:$L$225)</f>
        <v>0</v>
      </c>
      <c r="Q22" s="13">
        <f>SUMIF(Mercado_Receita!$S$2:$S$225,"44682B1Convencional pré-pagamentoResidencialResidencialNão se aplicaNão se aplicaPonta",Mercado_Receita!$L$2:$L$225)+SUMIF(Mercado_Receita!$S$2:$S$225,"44682B1Convencional pré-pagamentoResidencialResidencialNão se aplicaNão se aplicaFora ponta",Mercado_Receita!$L$2:$L$225)+SUMIF(Mercado_Receita!$S$2:$S$225,"44682B1Convencional pré-pagamentoResidencialResidencialNão se aplicaNão se aplicaIntermediário",Mercado_Receita!$L$2:$L$225)+SUMIF(Mercado_Receita!$S$2:$S$225,"44682B1Convencional pré-pagamentoResidencialResidencialNão se aplicaNão se aplicaNão se aplica",Mercado_Receita!$L$2:$L$225)</f>
        <v>0</v>
      </c>
      <c r="R22" s="13">
        <f>SUMIF(Mercado_Receita!$S$2:$S$225,"44713B1Convencional pré-pagamentoResidencialResidencialNão se aplicaNão se aplicaPonta",Mercado_Receita!$L$2:$L$225)+SUMIF(Mercado_Receita!$S$2:$S$225,"44713B1Convencional pré-pagamentoResidencialResidencialNão se aplicaNão se aplicaFora ponta",Mercado_Receita!$L$2:$L$225)+SUMIF(Mercado_Receita!$S$2:$S$225,"44713B1Convencional pré-pagamentoResidencialResidencialNão se aplicaNão se aplicaIntermediário",Mercado_Receita!$L$2:$L$225)+SUMIF(Mercado_Receita!$S$2:$S$225,"44713B1Convencional pré-pagamentoResidencialResidencialNão se aplicaNão se aplicaNão se aplica",Mercado_Receita!$L$2:$L$225)</f>
        <v>0</v>
      </c>
      <c r="S22" s="13">
        <f>SUMIF(Mercado_Receita!$S$2:$S$225,"44743B1Convencional pré-pagamentoResidencialResidencialNão se aplicaNão se aplicaPonta",Mercado_Receita!$L$2:$L$225)+SUMIF(Mercado_Receita!$S$2:$S$225,"44743B1Convencional pré-pagamentoResidencialResidencialNão se aplicaNão se aplicaFora ponta",Mercado_Receita!$L$2:$L$225)+SUMIF(Mercado_Receita!$S$2:$S$225,"44743B1Convencional pré-pagamentoResidencialResidencialNão se aplicaNão se aplicaIntermediário",Mercado_Receita!$L$2:$L$225)+SUMIF(Mercado_Receita!$S$2:$S$225,"44743B1Convencional pré-pagamentoResidencialResidencialNão se aplicaNão se aplicaNão se aplica",Mercado_Receita!$L$2:$L$225)</f>
        <v>0</v>
      </c>
      <c r="T22" s="13">
        <f>SUMIF(Mercado_Receita!$S$2:$S$225,"44774B1Convencional pré-pagamentoResidencialResidencialNão se aplicaNão se aplicaPonta",Mercado_Receita!$L$2:$L$225)+SUMIF(Mercado_Receita!$S$2:$S$225,"44774B1Convencional pré-pagamentoResidencialResidencialNão se aplicaNão se aplicaFora ponta",Mercado_Receita!$L$2:$L$225)+SUMIF(Mercado_Receita!$S$2:$S$225,"44774B1Convencional pré-pagamentoResidencialResidencialNão se aplicaNão se aplicaIntermediário",Mercado_Receita!$L$2:$L$225)+SUMIF(Mercado_Receita!$S$2:$S$225,"44774B1Convencional pré-pagamentoResidencialResidencialNão se aplicaNão se aplicaNão se aplica",Mercado_Receita!$L$2:$L$225)</f>
        <v>0</v>
      </c>
      <c r="U22" s="13">
        <f t="shared" si="0"/>
        <v>0</v>
      </c>
      <c r="V22" s="13"/>
      <c r="W22" s="13"/>
    </row>
    <row r="23" spans="1:23" ht="11.25" customHeight="1" x14ac:dyDescent="0.3">
      <c r="A23" s="77"/>
      <c r="B23" s="77"/>
      <c r="C23" s="77"/>
      <c r="D23" s="12" t="s">
        <v>27</v>
      </c>
      <c r="E23" s="12" t="s">
        <v>25</v>
      </c>
      <c r="F23" s="12" t="s">
        <v>25</v>
      </c>
      <c r="G23" s="13" t="s">
        <v>74</v>
      </c>
      <c r="H23" s="13" t="s">
        <v>68</v>
      </c>
      <c r="I23" s="13">
        <f>SUMIF(Mercado_Receita!$S$2:$S$225,"44440B1Convencional pré-pagamentoResidencialResidencial baixa renda – faixa 01Não se aplicaNão se aplicaPonta",Mercado_Receita!$L$2:$L$225)+SUMIF(Mercado_Receita!$S$2:$S$225,"44440B1Convencional pré-pagamentoResidencialResidencial baixa renda – faixa 01Não se aplicaNão se aplicaFora ponta",Mercado_Receita!$L$2:$L$225)+SUMIF(Mercado_Receita!$S$2:$S$225,"44440B1Convencional pré-pagamentoResidencialResidencial baixa renda – faixa 01Não se aplicaNão se aplicaIntermediário",Mercado_Receita!$L$2:$L$225)+SUMIF(Mercado_Receita!$S$2:$S$225,"44440B1Convencional pré-pagamentoResidencialResidencial baixa renda – faixa 01Não se aplicaNão se aplicaNão se aplica",Mercado_Receita!$L$2:$L$225)</f>
        <v>0</v>
      </c>
      <c r="J23" s="13">
        <f>SUMIF(Mercado_Receita!$S$2:$S$225,"44470B1Convencional pré-pagamentoResidencialResidencial baixa renda – faixa 01Não se aplicaNão se aplicaPonta",Mercado_Receita!$L$2:$L$225)+SUMIF(Mercado_Receita!$S$2:$S$225,"44470B1Convencional pré-pagamentoResidencialResidencial baixa renda – faixa 01Não se aplicaNão se aplicaFora ponta",Mercado_Receita!$L$2:$L$225)+SUMIF(Mercado_Receita!$S$2:$S$225,"44470B1Convencional pré-pagamentoResidencialResidencial baixa renda – faixa 01Não se aplicaNão se aplicaIntermediário",Mercado_Receita!$L$2:$L$225)+SUMIF(Mercado_Receita!$S$2:$S$225,"44470B1Convencional pré-pagamentoResidencialResidencial baixa renda – faixa 01Não se aplicaNão se aplicaNão se aplica",Mercado_Receita!$L$2:$L$225)</f>
        <v>0</v>
      </c>
      <c r="K23" s="13">
        <f>SUMIF(Mercado_Receita!$S$2:$S$225,"44501B1Convencional pré-pagamentoResidencialResidencial baixa renda – faixa 01Não se aplicaNão se aplicaPonta",Mercado_Receita!$L$2:$L$225)+SUMIF(Mercado_Receita!$S$2:$S$225,"44501B1Convencional pré-pagamentoResidencialResidencial baixa renda – faixa 01Não se aplicaNão se aplicaFora ponta",Mercado_Receita!$L$2:$L$225)+SUMIF(Mercado_Receita!$S$2:$S$225,"44501B1Convencional pré-pagamentoResidencialResidencial baixa renda – faixa 01Não se aplicaNão se aplicaIntermediário",Mercado_Receita!$L$2:$L$225)+SUMIF(Mercado_Receita!$S$2:$S$225,"44501B1Convencional pré-pagamentoResidencialResidencial baixa renda – faixa 01Não se aplicaNão se aplicaNão se aplica",Mercado_Receita!$L$2:$L$225)</f>
        <v>0</v>
      </c>
      <c r="L23" s="13">
        <f>SUMIF(Mercado_Receita!$S$2:$S$225,"44531B1Convencional pré-pagamentoResidencialResidencial baixa renda – faixa 01Não se aplicaNão se aplicaPonta",Mercado_Receita!$L$2:$L$225)+SUMIF(Mercado_Receita!$S$2:$S$225,"44531B1Convencional pré-pagamentoResidencialResidencial baixa renda – faixa 01Não se aplicaNão se aplicaFora ponta",Mercado_Receita!$L$2:$L$225)+SUMIF(Mercado_Receita!$S$2:$S$225,"44531B1Convencional pré-pagamentoResidencialResidencial baixa renda – faixa 01Não se aplicaNão se aplicaIntermediário",Mercado_Receita!$L$2:$L$225)+SUMIF(Mercado_Receita!$S$2:$S$225,"44531B1Convencional pré-pagamentoResidencialResidencial baixa renda – faixa 01Não se aplicaNão se aplicaNão se aplica",Mercado_Receita!$L$2:$L$225)</f>
        <v>0</v>
      </c>
      <c r="M23" s="13">
        <f>SUMIF(Mercado_Receita!$S$2:$S$225,"44562B1Convencional pré-pagamentoResidencialResidencial baixa renda – faixa 01Não se aplicaNão se aplicaPonta",Mercado_Receita!$L$2:$L$225)+SUMIF(Mercado_Receita!$S$2:$S$225,"44562B1Convencional pré-pagamentoResidencialResidencial baixa renda – faixa 01Não se aplicaNão se aplicaFora ponta",Mercado_Receita!$L$2:$L$225)+SUMIF(Mercado_Receita!$S$2:$S$225,"44562B1Convencional pré-pagamentoResidencialResidencial baixa renda – faixa 01Não se aplicaNão se aplicaIntermediário",Mercado_Receita!$L$2:$L$225)+SUMIF(Mercado_Receita!$S$2:$S$225,"44562B1Convencional pré-pagamentoResidencialResidencial baixa renda – faixa 01Não se aplicaNão se aplicaNão se aplica",Mercado_Receita!$L$2:$L$225)</f>
        <v>0</v>
      </c>
      <c r="N23" s="13">
        <f>SUMIF(Mercado_Receita!$S$2:$S$225,"44593B1Convencional pré-pagamentoResidencialResidencial baixa renda – faixa 01Não se aplicaNão se aplicaPonta",Mercado_Receita!$L$2:$L$225)+SUMIF(Mercado_Receita!$S$2:$S$225,"44593B1Convencional pré-pagamentoResidencialResidencial baixa renda – faixa 01Não se aplicaNão se aplicaFora ponta",Mercado_Receita!$L$2:$L$225)+SUMIF(Mercado_Receita!$S$2:$S$225,"44593B1Convencional pré-pagamentoResidencialResidencial baixa renda – faixa 01Não se aplicaNão se aplicaIntermediário",Mercado_Receita!$L$2:$L$225)+SUMIF(Mercado_Receita!$S$2:$S$225,"44593B1Convencional pré-pagamentoResidencialResidencial baixa renda – faixa 01Não se aplicaNão se aplicaNão se aplica",Mercado_Receita!$L$2:$L$225)</f>
        <v>0</v>
      </c>
      <c r="O23" s="13">
        <f>SUMIF(Mercado_Receita!$S$2:$S$225,"44621B1Convencional pré-pagamentoResidencialResidencial baixa renda – faixa 01Não se aplicaNão se aplicaPonta",Mercado_Receita!$L$2:$L$225)+SUMIF(Mercado_Receita!$S$2:$S$225,"44621B1Convencional pré-pagamentoResidencialResidencial baixa renda – faixa 01Não se aplicaNão se aplicaFora ponta",Mercado_Receita!$L$2:$L$225)+SUMIF(Mercado_Receita!$S$2:$S$225,"44621B1Convencional pré-pagamentoResidencialResidencial baixa renda – faixa 01Não se aplicaNão se aplicaIntermediário",Mercado_Receita!$L$2:$L$225)+SUMIF(Mercado_Receita!$S$2:$S$225,"44621B1Convencional pré-pagamentoResidencialResidencial baixa renda – faixa 01Não se aplicaNão se aplicaNão se aplica",Mercado_Receita!$L$2:$L$225)</f>
        <v>0</v>
      </c>
      <c r="P23" s="13">
        <f>SUMIF(Mercado_Receita!$S$2:$S$225,"44652B1Convencional pré-pagamentoResidencialResidencial baixa renda – faixa 01Não se aplicaNão se aplicaPonta",Mercado_Receita!$L$2:$L$225)+SUMIF(Mercado_Receita!$S$2:$S$225,"44652B1Convencional pré-pagamentoResidencialResidencial baixa renda – faixa 01Não se aplicaNão se aplicaFora ponta",Mercado_Receita!$L$2:$L$225)+SUMIF(Mercado_Receita!$S$2:$S$225,"44652B1Convencional pré-pagamentoResidencialResidencial baixa renda – faixa 01Não se aplicaNão se aplicaIntermediário",Mercado_Receita!$L$2:$L$225)+SUMIF(Mercado_Receita!$S$2:$S$225,"44652B1Convencional pré-pagamentoResidencialResidencial baixa renda – faixa 01Não se aplicaNão se aplicaNão se aplica",Mercado_Receita!$L$2:$L$225)</f>
        <v>0</v>
      </c>
      <c r="Q23" s="13">
        <f>SUMIF(Mercado_Receita!$S$2:$S$225,"44682B1Convencional pré-pagamentoResidencialResidencial baixa renda – faixa 01Não se aplicaNão se aplicaPonta",Mercado_Receita!$L$2:$L$225)+SUMIF(Mercado_Receita!$S$2:$S$225,"44682B1Convencional pré-pagamentoResidencialResidencial baixa renda – faixa 01Não se aplicaNão se aplicaFora ponta",Mercado_Receita!$L$2:$L$225)+SUMIF(Mercado_Receita!$S$2:$S$225,"44682B1Convencional pré-pagamentoResidencialResidencial baixa renda – faixa 01Não se aplicaNão se aplicaIntermediário",Mercado_Receita!$L$2:$L$225)+SUMIF(Mercado_Receita!$S$2:$S$225,"44682B1Convencional pré-pagamentoResidencialResidencial baixa renda – faixa 01Não se aplicaNão se aplicaNão se aplica",Mercado_Receita!$L$2:$L$225)</f>
        <v>0</v>
      </c>
      <c r="R23" s="13">
        <f>SUMIF(Mercado_Receita!$S$2:$S$225,"44713B1Convencional pré-pagamentoResidencialResidencial baixa renda – faixa 01Não se aplicaNão se aplicaPonta",Mercado_Receita!$L$2:$L$225)+SUMIF(Mercado_Receita!$S$2:$S$225,"44713B1Convencional pré-pagamentoResidencialResidencial baixa renda – faixa 01Não se aplicaNão se aplicaFora ponta",Mercado_Receita!$L$2:$L$225)+SUMIF(Mercado_Receita!$S$2:$S$225,"44713B1Convencional pré-pagamentoResidencialResidencial baixa renda – faixa 01Não se aplicaNão se aplicaIntermediário",Mercado_Receita!$L$2:$L$225)+SUMIF(Mercado_Receita!$S$2:$S$225,"44713B1Convencional pré-pagamentoResidencialResidencial baixa renda – faixa 01Não se aplicaNão se aplicaNão se aplica",Mercado_Receita!$L$2:$L$225)</f>
        <v>0</v>
      </c>
      <c r="S23" s="13">
        <f>SUMIF(Mercado_Receita!$S$2:$S$225,"44743B1Convencional pré-pagamentoResidencialResidencial baixa renda – faixa 01Não se aplicaNão se aplicaPonta",Mercado_Receita!$L$2:$L$225)+SUMIF(Mercado_Receita!$S$2:$S$225,"44743B1Convencional pré-pagamentoResidencialResidencial baixa renda – faixa 01Não se aplicaNão se aplicaFora ponta",Mercado_Receita!$L$2:$L$225)+SUMIF(Mercado_Receita!$S$2:$S$225,"44743B1Convencional pré-pagamentoResidencialResidencial baixa renda – faixa 01Não se aplicaNão se aplicaIntermediário",Mercado_Receita!$L$2:$L$225)+SUMIF(Mercado_Receita!$S$2:$S$225,"44743B1Convencional pré-pagamentoResidencialResidencial baixa renda – faixa 01Não se aplicaNão se aplicaNão se aplica",Mercado_Receita!$L$2:$L$225)</f>
        <v>0</v>
      </c>
      <c r="T23" s="13">
        <f>SUMIF(Mercado_Receita!$S$2:$S$225,"44774B1Convencional pré-pagamentoResidencialResidencial baixa renda – faixa 01Não se aplicaNão se aplicaPonta",Mercado_Receita!$L$2:$L$225)+SUMIF(Mercado_Receita!$S$2:$S$225,"44774B1Convencional pré-pagamentoResidencialResidencial baixa renda – faixa 01Não se aplicaNão se aplicaFora ponta",Mercado_Receita!$L$2:$L$225)+SUMIF(Mercado_Receita!$S$2:$S$225,"44774B1Convencional pré-pagamentoResidencialResidencial baixa renda – faixa 01Não se aplicaNão se aplicaIntermediário",Mercado_Receita!$L$2:$L$225)+SUMIF(Mercado_Receita!$S$2:$S$225,"44774B1Convencional pré-pagamentoResidencialResidencial baixa renda – faixa 01Não se aplicaNão se aplicaNão se aplica",Mercado_Receita!$L$2:$L$225)</f>
        <v>0</v>
      </c>
      <c r="U23" s="13">
        <f t="shared" si="0"/>
        <v>0</v>
      </c>
      <c r="V23" s="13"/>
      <c r="W23" s="13"/>
    </row>
    <row r="24" spans="1:23" ht="11.25" customHeight="1" x14ac:dyDescent="0.3">
      <c r="A24" s="77"/>
      <c r="B24" s="77"/>
      <c r="C24" s="77"/>
      <c r="D24" s="12" t="s">
        <v>28</v>
      </c>
      <c r="E24" s="12" t="s">
        <v>25</v>
      </c>
      <c r="F24" s="12" t="s">
        <v>25</v>
      </c>
      <c r="G24" s="13" t="s">
        <v>74</v>
      </c>
      <c r="H24" s="13" t="s">
        <v>68</v>
      </c>
      <c r="I24" s="13">
        <f>SUMIF(Mercado_Receita!$S$2:$S$225,"44440B1Convencional pré-pagamentoResidencialResidencial baixa renda – faixa 02Não se aplicaNão se aplicaPonta",Mercado_Receita!$L$2:$L$225)+SUMIF(Mercado_Receita!$S$2:$S$225,"44440B1Convencional pré-pagamentoResidencialResidencial baixa renda – faixa 02Não se aplicaNão se aplicaFora ponta",Mercado_Receita!$L$2:$L$225)+SUMIF(Mercado_Receita!$S$2:$S$225,"44440B1Convencional pré-pagamentoResidencialResidencial baixa renda – faixa 02Não se aplicaNão se aplicaIntermediário",Mercado_Receita!$L$2:$L$225)+SUMIF(Mercado_Receita!$S$2:$S$225,"44440B1Convencional pré-pagamentoResidencialResidencial baixa renda – faixa 02Não se aplicaNão se aplicaNão se aplica",Mercado_Receita!$L$2:$L$225)</f>
        <v>0</v>
      </c>
      <c r="J24" s="13">
        <f>SUMIF(Mercado_Receita!$S$2:$S$225,"44470B1Convencional pré-pagamentoResidencialResidencial baixa renda – faixa 02Não se aplicaNão se aplicaPonta",Mercado_Receita!$L$2:$L$225)+SUMIF(Mercado_Receita!$S$2:$S$225,"44470B1Convencional pré-pagamentoResidencialResidencial baixa renda – faixa 02Não se aplicaNão se aplicaFora ponta",Mercado_Receita!$L$2:$L$225)+SUMIF(Mercado_Receita!$S$2:$S$225,"44470B1Convencional pré-pagamentoResidencialResidencial baixa renda – faixa 02Não se aplicaNão se aplicaIntermediário",Mercado_Receita!$L$2:$L$225)+SUMIF(Mercado_Receita!$S$2:$S$225,"44470B1Convencional pré-pagamentoResidencialResidencial baixa renda – faixa 02Não se aplicaNão se aplicaNão se aplica",Mercado_Receita!$L$2:$L$225)</f>
        <v>0</v>
      </c>
      <c r="K24" s="13">
        <f>SUMIF(Mercado_Receita!$S$2:$S$225,"44501B1Convencional pré-pagamentoResidencialResidencial baixa renda – faixa 02Não se aplicaNão se aplicaPonta",Mercado_Receita!$L$2:$L$225)+SUMIF(Mercado_Receita!$S$2:$S$225,"44501B1Convencional pré-pagamentoResidencialResidencial baixa renda – faixa 02Não se aplicaNão se aplicaFora ponta",Mercado_Receita!$L$2:$L$225)+SUMIF(Mercado_Receita!$S$2:$S$225,"44501B1Convencional pré-pagamentoResidencialResidencial baixa renda – faixa 02Não se aplicaNão se aplicaIntermediário",Mercado_Receita!$L$2:$L$225)+SUMIF(Mercado_Receita!$S$2:$S$225,"44501B1Convencional pré-pagamentoResidencialResidencial baixa renda – faixa 02Não se aplicaNão se aplicaNão se aplica",Mercado_Receita!$L$2:$L$225)</f>
        <v>0</v>
      </c>
      <c r="L24" s="13">
        <f>SUMIF(Mercado_Receita!$S$2:$S$225,"44531B1Convencional pré-pagamentoResidencialResidencial baixa renda – faixa 02Não se aplicaNão se aplicaPonta",Mercado_Receita!$L$2:$L$225)+SUMIF(Mercado_Receita!$S$2:$S$225,"44531B1Convencional pré-pagamentoResidencialResidencial baixa renda – faixa 02Não se aplicaNão se aplicaFora ponta",Mercado_Receita!$L$2:$L$225)+SUMIF(Mercado_Receita!$S$2:$S$225,"44531B1Convencional pré-pagamentoResidencialResidencial baixa renda – faixa 02Não se aplicaNão se aplicaIntermediário",Mercado_Receita!$L$2:$L$225)+SUMIF(Mercado_Receita!$S$2:$S$225,"44531B1Convencional pré-pagamentoResidencialResidencial baixa renda – faixa 02Não se aplicaNão se aplicaNão se aplica",Mercado_Receita!$L$2:$L$225)</f>
        <v>0</v>
      </c>
      <c r="M24" s="13">
        <f>SUMIF(Mercado_Receita!$S$2:$S$225,"44562B1Convencional pré-pagamentoResidencialResidencial baixa renda – faixa 02Não se aplicaNão se aplicaPonta",Mercado_Receita!$L$2:$L$225)+SUMIF(Mercado_Receita!$S$2:$S$225,"44562B1Convencional pré-pagamentoResidencialResidencial baixa renda – faixa 02Não se aplicaNão se aplicaFora ponta",Mercado_Receita!$L$2:$L$225)+SUMIF(Mercado_Receita!$S$2:$S$225,"44562B1Convencional pré-pagamentoResidencialResidencial baixa renda – faixa 02Não se aplicaNão se aplicaIntermediário",Mercado_Receita!$L$2:$L$225)+SUMIF(Mercado_Receita!$S$2:$S$225,"44562B1Convencional pré-pagamentoResidencialResidencial baixa renda – faixa 02Não se aplicaNão se aplicaNão se aplica",Mercado_Receita!$L$2:$L$225)</f>
        <v>0</v>
      </c>
      <c r="N24" s="13">
        <f>SUMIF(Mercado_Receita!$S$2:$S$225,"44593B1Convencional pré-pagamentoResidencialResidencial baixa renda – faixa 02Não se aplicaNão se aplicaPonta",Mercado_Receita!$L$2:$L$225)+SUMIF(Mercado_Receita!$S$2:$S$225,"44593B1Convencional pré-pagamentoResidencialResidencial baixa renda – faixa 02Não se aplicaNão se aplicaFora ponta",Mercado_Receita!$L$2:$L$225)+SUMIF(Mercado_Receita!$S$2:$S$225,"44593B1Convencional pré-pagamentoResidencialResidencial baixa renda – faixa 02Não se aplicaNão se aplicaIntermediário",Mercado_Receita!$L$2:$L$225)+SUMIF(Mercado_Receita!$S$2:$S$225,"44593B1Convencional pré-pagamentoResidencialResidencial baixa renda – faixa 02Não se aplicaNão se aplicaNão se aplica",Mercado_Receita!$L$2:$L$225)</f>
        <v>0</v>
      </c>
      <c r="O24" s="13">
        <f>SUMIF(Mercado_Receita!$S$2:$S$225,"44621B1Convencional pré-pagamentoResidencialResidencial baixa renda – faixa 02Não se aplicaNão se aplicaPonta",Mercado_Receita!$L$2:$L$225)+SUMIF(Mercado_Receita!$S$2:$S$225,"44621B1Convencional pré-pagamentoResidencialResidencial baixa renda – faixa 02Não se aplicaNão se aplicaFora ponta",Mercado_Receita!$L$2:$L$225)+SUMIF(Mercado_Receita!$S$2:$S$225,"44621B1Convencional pré-pagamentoResidencialResidencial baixa renda – faixa 02Não se aplicaNão se aplicaIntermediário",Mercado_Receita!$L$2:$L$225)+SUMIF(Mercado_Receita!$S$2:$S$225,"44621B1Convencional pré-pagamentoResidencialResidencial baixa renda – faixa 02Não se aplicaNão se aplicaNão se aplica",Mercado_Receita!$L$2:$L$225)</f>
        <v>0</v>
      </c>
      <c r="P24" s="13">
        <f>SUMIF(Mercado_Receita!$S$2:$S$225,"44652B1Convencional pré-pagamentoResidencialResidencial baixa renda – faixa 02Não se aplicaNão se aplicaPonta",Mercado_Receita!$L$2:$L$225)+SUMIF(Mercado_Receita!$S$2:$S$225,"44652B1Convencional pré-pagamentoResidencialResidencial baixa renda – faixa 02Não se aplicaNão se aplicaFora ponta",Mercado_Receita!$L$2:$L$225)+SUMIF(Mercado_Receita!$S$2:$S$225,"44652B1Convencional pré-pagamentoResidencialResidencial baixa renda – faixa 02Não se aplicaNão se aplicaIntermediário",Mercado_Receita!$L$2:$L$225)+SUMIF(Mercado_Receita!$S$2:$S$225,"44652B1Convencional pré-pagamentoResidencialResidencial baixa renda – faixa 02Não se aplicaNão se aplicaNão se aplica",Mercado_Receita!$L$2:$L$225)</f>
        <v>0</v>
      </c>
      <c r="Q24" s="13">
        <f>SUMIF(Mercado_Receita!$S$2:$S$225,"44682B1Convencional pré-pagamentoResidencialResidencial baixa renda – faixa 02Não se aplicaNão se aplicaPonta",Mercado_Receita!$L$2:$L$225)+SUMIF(Mercado_Receita!$S$2:$S$225,"44682B1Convencional pré-pagamentoResidencialResidencial baixa renda – faixa 02Não se aplicaNão se aplicaFora ponta",Mercado_Receita!$L$2:$L$225)+SUMIF(Mercado_Receita!$S$2:$S$225,"44682B1Convencional pré-pagamentoResidencialResidencial baixa renda – faixa 02Não se aplicaNão se aplicaIntermediário",Mercado_Receita!$L$2:$L$225)+SUMIF(Mercado_Receita!$S$2:$S$225,"44682B1Convencional pré-pagamentoResidencialResidencial baixa renda – faixa 02Não se aplicaNão se aplicaNão se aplica",Mercado_Receita!$L$2:$L$225)</f>
        <v>0</v>
      </c>
      <c r="R24" s="13">
        <f>SUMIF(Mercado_Receita!$S$2:$S$225,"44713B1Convencional pré-pagamentoResidencialResidencial baixa renda – faixa 02Não se aplicaNão se aplicaPonta",Mercado_Receita!$L$2:$L$225)+SUMIF(Mercado_Receita!$S$2:$S$225,"44713B1Convencional pré-pagamentoResidencialResidencial baixa renda – faixa 02Não se aplicaNão se aplicaFora ponta",Mercado_Receita!$L$2:$L$225)+SUMIF(Mercado_Receita!$S$2:$S$225,"44713B1Convencional pré-pagamentoResidencialResidencial baixa renda – faixa 02Não se aplicaNão se aplicaIntermediário",Mercado_Receita!$L$2:$L$225)+SUMIF(Mercado_Receita!$S$2:$S$225,"44713B1Convencional pré-pagamentoResidencialResidencial baixa renda – faixa 02Não se aplicaNão se aplicaNão se aplica",Mercado_Receita!$L$2:$L$225)</f>
        <v>0</v>
      </c>
      <c r="S24" s="13">
        <f>SUMIF(Mercado_Receita!$S$2:$S$225,"44743B1Convencional pré-pagamentoResidencialResidencial baixa renda – faixa 02Não se aplicaNão se aplicaPonta",Mercado_Receita!$L$2:$L$225)+SUMIF(Mercado_Receita!$S$2:$S$225,"44743B1Convencional pré-pagamentoResidencialResidencial baixa renda – faixa 02Não se aplicaNão se aplicaFora ponta",Mercado_Receita!$L$2:$L$225)+SUMIF(Mercado_Receita!$S$2:$S$225,"44743B1Convencional pré-pagamentoResidencialResidencial baixa renda – faixa 02Não se aplicaNão se aplicaIntermediário",Mercado_Receita!$L$2:$L$225)+SUMIF(Mercado_Receita!$S$2:$S$225,"44743B1Convencional pré-pagamentoResidencialResidencial baixa renda – faixa 02Não se aplicaNão se aplicaNão se aplica",Mercado_Receita!$L$2:$L$225)</f>
        <v>0</v>
      </c>
      <c r="T24" s="13">
        <f>SUMIF(Mercado_Receita!$S$2:$S$225,"44774B1Convencional pré-pagamentoResidencialResidencial baixa renda – faixa 02Não se aplicaNão se aplicaPonta",Mercado_Receita!$L$2:$L$225)+SUMIF(Mercado_Receita!$S$2:$S$225,"44774B1Convencional pré-pagamentoResidencialResidencial baixa renda – faixa 02Não se aplicaNão se aplicaFora ponta",Mercado_Receita!$L$2:$L$225)+SUMIF(Mercado_Receita!$S$2:$S$225,"44774B1Convencional pré-pagamentoResidencialResidencial baixa renda – faixa 02Não se aplicaNão se aplicaIntermediário",Mercado_Receita!$L$2:$L$225)+SUMIF(Mercado_Receita!$S$2:$S$225,"44774B1Convencional pré-pagamentoResidencialResidencial baixa renda – faixa 02Não se aplicaNão se aplicaNão se aplica",Mercado_Receita!$L$2:$L$225)</f>
        <v>0</v>
      </c>
      <c r="U24" s="13">
        <f t="shared" si="0"/>
        <v>0</v>
      </c>
      <c r="V24" s="13"/>
      <c r="W24" s="13"/>
    </row>
    <row r="25" spans="1:23" ht="11.25" customHeight="1" x14ac:dyDescent="0.3">
      <c r="A25" s="77"/>
      <c r="B25" s="77"/>
      <c r="C25" s="77"/>
      <c r="D25" s="12" t="s">
        <v>29</v>
      </c>
      <c r="E25" s="12" t="s">
        <v>25</v>
      </c>
      <c r="F25" s="12" t="s">
        <v>25</v>
      </c>
      <c r="G25" s="13" t="s">
        <v>74</v>
      </c>
      <c r="H25" s="13" t="s">
        <v>68</v>
      </c>
      <c r="I25" s="13">
        <f>SUMIF(Mercado_Receita!$S$2:$S$225,"44440B1Convencional pré-pagamentoResidencialResidencial baixa renda – faixa 03Não se aplicaNão se aplicaPonta",Mercado_Receita!$L$2:$L$225)+SUMIF(Mercado_Receita!$S$2:$S$225,"44440B1Convencional pré-pagamentoResidencialResidencial baixa renda – faixa 03Não se aplicaNão se aplicaFora ponta",Mercado_Receita!$L$2:$L$225)+SUMIF(Mercado_Receita!$S$2:$S$225,"44440B1Convencional pré-pagamentoResidencialResidencial baixa renda – faixa 03Não se aplicaNão se aplicaIntermediário",Mercado_Receita!$L$2:$L$225)+SUMIF(Mercado_Receita!$S$2:$S$225,"44440B1Convencional pré-pagamentoResidencialResidencial baixa renda – faixa 03Não se aplicaNão se aplicaNão se aplica",Mercado_Receita!$L$2:$L$225)</f>
        <v>0</v>
      </c>
      <c r="J25" s="13">
        <f>SUMIF(Mercado_Receita!$S$2:$S$225,"44470B1Convencional pré-pagamentoResidencialResidencial baixa renda – faixa 03Não se aplicaNão se aplicaPonta",Mercado_Receita!$L$2:$L$225)+SUMIF(Mercado_Receita!$S$2:$S$225,"44470B1Convencional pré-pagamentoResidencialResidencial baixa renda – faixa 03Não se aplicaNão se aplicaFora ponta",Mercado_Receita!$L$2:$L$225)+SUMIF(Mercado_Receita!$S$2:$S$225,"44470B1Convencional pré-pagamentoResidencialResidencial baixa renda – faixa 03Não se aplicaNão se aplicaIntermediário",Mercado_Receita!$L$2:$L$225)+SUMIF(Mercado_Receita!$S$2:$S$225,"44470B1Convencional pré-pagamentoResidencialResidencial baixa renda – faixa 03Não se aplicaNão se aplicaNão se aplica",Mercado_Receita!$L$2:$L$225)</f>
        <v>0</v>
      </c>
      <c r="K25" s="13">
        <f>SUMIF(Mercado_Receita!$S$2:$S$225,"44501B1Convencional pré-pagamentoResidencialResidencial baixa renda – faixa 03Não se aplicaNão se aplicaPonta",Mercado_Receita!$L$2:$L$225)+SUMIF(Mercado_Receita!$S$2:$S$225,"44501B1Convencional pré-pagamentoResidencialResidencial baixa renda – faixa 03Não se aplicaNão se aplicaFora ponta",Mercado_Receita!$L$2:$L$225)+SUMIF(Mercado_Receita!$S$2:$S$225,"44501B1Convencional pré-pagamentoResidencialResidencial baixa renda – faixa 03Não se aplicaNão se aplicaIntermediário",Mercado_Receita!$L$2:$L$225)+SUMIF(Mercado_Receita!$S$2:$S$225,"44501B1Convencional pré-pagamentoResidencialResidencial baixa renda – faixa 03Não se aplicaNão se aplicaNão se aplica",Mercado_Receita!$L$2:$L$225)</f>
        <v>0</v>
      </c>
      <c r="L25" s="13">
        <f>SUMIF(Mercado_Receita!$S$2:$S$225,"44531B1Convencional pré-pagamentoResidencialResidencial baixa renda – faixa 03Não se aplicaNão se aplicaPonta",Mercado_Receita!$L$2:$L$225)+SUMIF(Mercado_Receita!$S$2:$S$225,"44531B1Convencional pré-pagamentoResidencialResidencial baixa renda – faixa 03Não se aplicaNão se aplicaFora ponta",Mercado_Receita!$L$2:$L$225)+SUMIF(Mercado_Receita!$S$2:$S$225,"44531B1Convencional pré-pagamentoResidencialResidencial baixa renda – faixa 03Não se aplicaNão se aplicaIntermediário",Mercado_Receita!$L$2:$L$225)+SUMIF(Mercado_Receita!$S$2:$S$225,"44531B1Convencional pré-pagamentoResidencialResidencial baixa renda – faixa 03Não se aplicaNão se aplicaNão se aplica",Mercado_Receita!$L$2:$L$225)</f>
        <v>0</v>
      </c>
      <c r="M25" s="13">
        <f>SUMIF(Mercado_Receita!$S$2:$S$225,"44562B1Convencional pré-pagamentoResidencialResidencial baixa renda – faixa 03Não se aplicaNão se aplicaPonta",Mercado_Receita!$L$2:$L$225)+SUMIF(Mercado_Receita!$S$2:$S$225,"44562B1Convencional pré-pagamentoResidencialResidencial baixa renda – faixa 03Não se aplicaNão se aplicaFora ponta",Mercado_Receita!$L$2:$L$225)+SUMIF(Mercado_Receita!$S$2:$S$225,"44562B1Convencional pré-pagamentoResidencialResidencial baixa renda – faixa 03Não se aplicaNão se aplicaIntermediário",Mercado_Receita!$L$2:$L$225)+SUMIF(Mercado_Receita!$S$2:$S$225,"44562B1Convencional pré-pagamentoResidencialResidencial baixa renda – faixa 03Não se aplicaNão se aplicaNão se aplica",Mercado_Receita!$L$2:$L$225)</f>
        <v>0</v>
      </c>
      <c r="N25" s="13">
        <f>SUMIF(Mercado_Receita!$S$2:$S$225,"44593B1Convencional pré-pagamentoResidencialResidencial baixa renda – faixa 03Não se aplicaNão se aplicaPonta",Mercado_Receita!$L$2:$L$225)+SUMIF(Mercado_Receita!$S$2:$S$225,"44593B1Convencional pré-pagamentoResidencialResidencial baixa renda – faixa 03Não se aplicaNão se aplicaFora ponta",Mercado_Receita!$L$2:$L$225)+SUMIF(Mercado_Receita!$S$2:$S$225,"44593B1Convencional pré-pagamentoResidencialResidencial baixa renda – faixa 03Não se aplicaNão se aplicaIntermediário",Mercado_Receita!$L$2:$L$225)+SUMIF(Mercado_Receita!$S$2:$S$225,"44593B1Convencional pré-pagamentoResidencialResidencial baixa renda – faixa 03Não se aplicaNão se aplicaNão se aplica",Mercado_Receita!$L$2:$L$225)</f>
        <v>0</v>
      </c>
      <c r="O25" s="13">
        <f>SUMIF(Mercado_Receita!$S$2:$S$225,"44621B1Convencional pré-pagamentoResidencialResidencial baixa renda – faixa 03Não se aplicaNão se aplicaPonta",Mercado_Receita!$L$2:$L$225)+SUMIF(Mercado_Receita!$S$2:$S$225,"44621B1Convencional pré-pagamentoResidencialResidencial baixa renda – faixa 03Não se aplicaNão se aplicaFora ponta",Mercado_Receita!$L$2:$L$225)+SUMIF(Mercado_Receita!$S$2:$S$225,"44621B1Convencional pré-pagamentoResidencialResidencial baixa renda – faixa 03Não se aplicaNão se aplicaIntermediário",Mercado_Receita!$L$2:$L$225)+SUMIF(Mercado_Receita!$S$2:$S$225,"44621B1Convencional pré-pagamentoResidencialResidencial baixa renda – faixa 03Não se aplicaNão se aplicaNão se aplica",Mercado_Receita!$L$2:$L$225)</f>
        <v>0</v>
      </c>
      <c r="P25" s="13">
        <f>SUMIF(Mercado_Receita!$S$2:$S$225,"44652B1Convencional pré-pagamentoResidencialResidencial baixa renda – faixa 03Não se aplicaNão se aplicaPonta",Mercado_Receita!$L$2:$L$225)+SUMIF(Mercado_Receita!$S$2:$S$225,"44652B1Convencional pré-pagamentoResidencialResidencial baixa renda – faixa 03Não se aplicaNão se aplicaFora ponta",Mercado_Receita!$L$2:$L$225)+SUMIF(Mercado_Receita!$S$2:$S$225,"44652B1Convencional pré-pagamentoResidencialResidencial baixa renda – faixa 03Não se aplicaNão se aplicaIntermediário",Mercado_Receita!$L$2:$L$225)+SUMIF(Mercado_Receita!$S$2:$S$225,"44652B1Convencional pré-pagamentoResidencialResidencial baixa renda – faixa 03Não se aplicaNão se aplicaNão se aplica",Mercado_Receita!$L$2:$L$225)</f>
        <v>0</v>
      </c>
      <c r="Q25" s="13">
        <f>SUMIF(Mercado_Receita!$S$2:$S$225,"44682B1Convencional pré-pagamentoResidencialResidencial baixa renda – faixa 03Não se aplicaNão se aplicaPonta",Mercado_Receita!$L$2:$L$225)+SUMIF(Mercado_Receita!$S$2:$S$225,"44682B1Convencional pré-pagamentoResidencialResidencial baixa renda – faixa 03Não se aplicaNão se aplicaFora ponta",Mercado_Receita!$L$2:$L$225)+SUMIF(Mercado_Receita!$S$2:$S$225,"44682B1Convencional pré-pagamentoResidencialResidencial baixa renda – faixa 03Não se aplicaNão se aplicaIntermediário",Mercado_Receita!$L$2:$L$225)+SUMIF(Mercado_Receita!$S$2:$S$225,"44682B1Convencional pré-pagamentoResidencialResidencial baixa renda – faixa 03Não se aplicaNão se aplicaNão se aplica",Mercado_Receita!$L$2:$L$225)</f>
        <v>0</v>
      </c>
      <c r="R25" s="13">
        <f>SUMIF(Mercado_Receita!$S$2:$S$225,"44713B1Convencional pré-pagamentoResidencialResidencial baixa renda – faixa 03Não se aplicaNão se aplicaPonta",Mercado_Receita!$L$2:$L$225)+SUMIF(Mercado_Receita!$S$2:$S$225,"44713B1Convencional pré-pagamentoResidencialResidencial baixa renda – faixa 03Não se aplicaNão se aplicaFora ponta",Mercado_Receita!$L$2:$L$225)+SUMIF(Mercado_Receita!$S$2:$S$225,"44713B1Convencional pré-pagamentoResidencialResidencial baixa renda – faixa 03Não se aplicaNão se aplicaIntermediário",Mercado_Receita!$L$2:$L$225)+SUMIF(Mercado_Receita!$S$2:$S$225,"44713B1Convencional pré-pagamentoResidencialResidencial baixa renda – faixa 03Não se aplicaNão se aplicaNão se aplica",Mercado_Receita!$L$2:$L$225)</f>
        <v>0</v>
      </c>
      <c r="S25" s="13">
        <f>SUMIF(Mercado_Receita!$S$2:$S$225,"44743B1Convencional pré-pagamentoResidencialResidencial baixa renda – faixa 03Não se aplicaNão se aplicaPonta",Mercado_Receita!$L$2:$L$225)+SUMIF(Mercado_Receita!$S$2:$S$225,"44743B1Convencional pré-pagamentoResidencialResidencial baixa renda – faixa 03Não se aplicaNão se aplicaFora ponta",Mercado_Receita!$L$2:$L$225)+SUMIF(Mercado_Receita!$S$2:$S$225,"44743B1Convencional pré-pagamentoResidencialResidencial baixa renda – faixa 03Não se aplicaNão se aplicaIntermediário",Mercado_Receita!$L$2:$L$225)+SUMIF(Mercado_Receita!$S$2:$S$225,"44743B1Convencional pré-pagamentoResidencialResidencial baixa renda – faixa 03Não se aplicaNão se aplicaNão se aplica",Mercado_Receita!$L$2:$L$225)</f>
        <v>0</v>
      </c>
      <c r="T25" s="13">
        <f>SUMIF(Mercado_Receita!$S$2:$S$225,"44774B1Convencional pré-pagamentoResidencialResidencial baixa renda – faixa 03Não se aplicaNão se aplicaPonta",Mercado_Receita!$L$2:$L$225)+SUMIF(Mercado_Receita!$S$2:$S$225,"44774B1Convencional pré-pagamentoResidencialResidencial baixa renda – faixa 03Não se aplicaNão se aplicaFora ponta",Mercado_Receita!$L$2:$L$225)+SUMIF(Mercado_Receita!$S$2:$S$225,"44774B1Convencional pré-pagamentoResidencialResidencial baixa renda – faixa 03Não se aplicaNão se aplicaIntermediário",Mercado_Receita!$L$2:$L$225)+SUMIF(Mercado_Receita!$S$2:$S$225,"44774B1Convencional pré-pagamentoResidencialResidencial baixa renda – faixa 03Não se aplicaNão se aplicaNão se aplica",Mercado_Receita!$L$2:$L$225)</f>
        <v>0</v>
      </c>
      <c r="U25" s="13">
        <f t="shared" si="0"/>
        <v>0</v>
      </c>
      <c r="V25" s="13"/>
      <c r="W25" s="13"/>
    </row>
    <row r="26" spans="1:23" ht="11.25" customHeight="1" x14ac:dyDescent="0.3">
      <c r="A26" s="77"/>
      <c r="B26" s="77"/>
      <c r="C26" s="77"/>
      <c r="D26" s="12" t="s">
        <v>30</v>
      </c>
      <c r="E26" s="12" t="s">
        <v>25</v>
      </c>
      <c r="F26" s="12" t="s">
        <v>25</v>
      </c>
      <c r="G26" s="13" t="s">
        <v>74</v>
      </c>
      <c r="H26" s="13" t="s">
        <v>68</v>
      </c>
      <c r="I26" s="13">
        <f>SUMIF(Mercado_Receita!$S$2:$S$225,"44440B1Convencional pré-pagamentoResidencialResidencial baixa renda – faixa 04Não se aplicaNão se aplicaPonta",Mercado_Receita!$L$2:$L$225)+SUMIF(Mercado_Receita!$S$2:$S$225,"44440B1Convencional pré-pagamentoResidencialResidencial baixa renda – faixa 04Não se aplicaNão se aplicaFora ponta",Mercado_Receita!$L$2:$L$225)+SUMIF(Mercado_Receita!$S$2:$S$225,"44440B1Convencional pré-pagamentoResidencialResidencial baixa renda – faixa 04Não se aplicaNão se aplicaIntermediário",Mercado_Receita!$L$2:$L$225)+SUMIF(Mercado_Receita!$S$2:$S$225,"44440B1Convencional pré-pagamentoResidencialResidencial baixa renda – faixa 04Não se aplicaNão se aplicaNão se aplica",Mercado_Receita!$L$2:$L$225)</f>
        <v>0</v>
      </c>
      <c r="J26" s="13">
        <f>SUMIF(Mercado_Receita!$S$2:$S$225,"44470B1Convencional pré-pagamentoResidencialResidencial baixa renda – faixa 04Não se aplicaNão se aplicaPonta",Mercado_Receita!$L$2:$L$225)+SUMIF(Mercado_Receita!$S$2:$S$225,"44470B1Convencional pré-pagamentoResidencialResidencial baixa renda – faixa 04Não se aplicaNão se aplicaFora ponta",Mercado_Receita!$L$2:$L$225)+SUMIF(Mercado_Receita!$S$2:$S$225,"44470B1Convencional pré-pagamentoResidencialResidencial baixa renda – faixa 04Não se aplicaNão se aplicaIntermediário",Mercado_Receita!$L$2:$L$225)+SUMIF(Mercado_Receita!$S$2:$S$225,"44470B1Convencional pré-pagamentoResidencialResidencial baixa renda – faixa 04Não se aplicaNão se aplicaNão se aplica",Mercado_Receita!$L$2:$L$225)</f>
        <v>0</v>
      </c>
      <c r="K26" s="13">
        <f>SUMIF(Mercado_Receita!$S$2:$S$225,"44501B1Convencional pré-pagamentoResidencialResidencial baixa renda – faixa 04Não se aplicaNão se aplicaPonta",Mercado_Receita!$L$2:$L$225)+SUMIF(Mercado_Receita!$S$2:$S$225,"44501B1Convencional pré-pagamentoResidencialResidencial baixa renda – faixa 04Não se aplicaNão se aplicaFora ponta",Mercado_Receita!$L$2:$L$225)+SUMIF(Mercado_Receita!$S$2:$S$225,"44501B1Convencional pré-pagamentoResidencialResidencial baixa renda – faixa 04Não se aplicaNão se aplicaIntermediário",Mercado_Receita!$L$2:$L$225)+SUMIF(Mercado_Receita!$S$2:$S$225,"44501B1Convencional pré-pagamentoResidencialResidencial baixa renda – faixa 04Não se aplicaNão se aplicaNão se aplica",Mercado_Receita!$L$2:$L$225)</f>
        <v>0</v>
      </c>
      <c r="L26" s="13">
        <f>SUMIF(Mercado_Receita!$S$2:$S$225,"44531B1Convencional pré-pagamentoResidencialResidencial baixa renda – faixa 04Não se aplicaNão se aplicaPonta",Mercado_Receita!$L$2:$L$225)+SUMIF(Mercado_Receita!$S$2:$S$225,"44531B1Convencional pré-pagamentoResidencialResidencial baixa renda – faixa 04Não se aplicaNão se aplicaFora ponta",Mercado_Receita!$L$2:$L$225)+SUMIF(Mercado_Receita!$S$2:$S$225,"44531B1Convencional pré-pagamentoResidencialResidencial baixa renda – faixa 04Não se aplicaNão se aplicaIntermediário",Mercado_Receita!$L$2:$L$225)+SUMIF(Mercado_Receita!$S$2:$S$225,"44531B1Convencional pré-pagamentoResidencialResidencial baixa renda – faixa 04Não se aplicaNão se aplicaNão se aplica",Mercado_Receita!$L$2:$L$225)</f>
        <v>0</v>
      </c>
      <c r="M26" s="13">
        <f>SUMIF(Mercado_Receita!$S$2:$S$225,"44562B1Convencional pré-pagamentoResidencialResidencial baixa renda – faixa 04Não se aplicaNão se aplicaPonta",Mercado_Receita!$L$2:$L$225)+SUMIF(Mercado_Receita!$S$2:$S$225,"44562B1Convencional pré-pagamentoResidencialResidencial baixa renda – faixa 04Não se aplicaNão se aplicaFora ponta",Mercado_Receita!$L$2:$L$225)+SUMIF(Mercado_Receita!$S$2:$S$225,"44562B1Convencional pré-pagamentoResidencialResidencial baixa renda – faixa 04Não se aplicaNão se aplicaIntermediário",Mercado_Receita!$L$2:$L$225)+SUMIF(Mercado_Receita!$S$2:$S$225,"44562B1Convencional pré-pagamentoResidencialResidencial baixa renda – faixa 04Não se aplicaNão se aplicaNão se aplica",Mercado_Receita!$L$2:$L$225)</f>
        <v>0</v>
      </c>
      <c r="N26" s="13">
        <f>SUMIF(Mercado_Receita!$S$2:$S$225,"44593B1Convencional pré-pagamentoResidencialResidencial baixa renda – faixa 04Não se aplicaNão se aplicaPonta",Mercado_Receita!$L$2:$L$225)+SUMIF(Mercado_Receita!$S$2:$S$225,"44593B1Convencional pré-pagamentoResidencialResidencial baixa renda – faixa 04Não se aplicaNão se aplicaFora ponta",Mercado_Receita!$L$2:$L$225)+SUMIF(Mercado_Receita!$S$2:$S$225,"44593B1Convencional pré-pagamentoResidencialResidencial baixa renda – faixa 04Não se aplicaNão se aplicaIntermediário",Mercado_Receita!$L$2:$L$225)+SUMIF(Mercado_Receita!$S$2:$S$225,"44593B1Convencional pré-pagamentoResidencialResidencial baixa renda – faixa 04Não se aplicaNão se aplicaNão se aplica",Mercado_Receita!$L$2:$L$225)</f>
        <v>0</v>
      </c>
      <c r="O26" s="13">
        <f>SUMIF(Mercado_Receita!$S$2:$S$225,"44621B1Convencional pré-pagamentoResidencialResidencial baixa renda – faixa 04Não se aplicaNão se aplicaPonta",Mercado_Receita!$L$2:$L$225)+SUMIF(Mercado_Receita!$S$2:$S$225,"44621B1Convencional pré-pagamentoResidencialResidencial baixa renda – faixa 04Não se aplicaNão se aplicaFora ponta",Mercado_Receita!$L$2:$L$225)+SUMIF(Mercado_Receita!$S$2:$S$225,"44621B1Convencional pré-pagamentoResidencialResidencial baixa renda – faixa 04Não se aplicaNão se aplicaIntermediário",Mercado_Receita!$L$2:$L$225)+SUMIF(Mercado_Receita!$S$2:$S$225,"44621B1Convencional pré-pagamentoResidencialResidencial baixa renda – faixa 04Não se aplicaNão se aplicaNão se aplica",Mercado_Receita!$L$2:$L$225)</f>
        <v>0</v>
      </c>
      <c r="P26" s="13">
        <f>SUMIF(Mercado_Receita!$S$2:$S$225,"44652B1Convencional pré-pagamentoResidencialResidencial baixa renda – faixa 04Não se aplicaNão se aplicaPonta",Mercado_Receita!$L$2:$L$225)+SUMIF(Mercado_Receita!$S$2:$S$225,"44652B1Convencional pré-pagamentoResidencialResidencial baixa renda – faixa 04Não se aplicaNão se aplicaFora ponta",Mercado_Receita!$L$2:$L$225)+SUMIF(Mercado_Receita!$S$2:$S$225,"44652B1Convencional pré-pagamentoResidencialResidencial baixa renda – faixa 04Não se aplicaNão se aplicaIntermediário",Mercado_Receita!$L$2:$L$225)+SUMIF(Mercado_Receita!$S$2:$S$225,"44652B1Convencional pré-pagamentoResidencialResidencial baixa renda – faixa 04Não se aplicaNão se aplicaNão se aplica",Mercado_Receita!$L$2:$L$225)</f>
        <v>0</v>
      </c>
      <c r="Q26" s="13">
        <f>SUMIF(Mercado_Receita!$S$2:$S$225,"44682B1Convencional pré-pagamentoResidencialResidencial baixa renda – faixa 04Não se aplicaNão se aplicaPonta",Mercado_Receita!$L$2:$L$225)+SUMIF(Mercado_Receita!$S$2:$S$225,"44682B1Convencional pré-pagamentoResidencialResidencial baixa renda – faixa 04Não se aplicaNão se aplicaFora ponta",Mercado_Receita!$L$2:$L$225)+SUMIF(Mercado_Receita!$S$2:$S$225,"44682B1Convencional pré-pagamentoResidencialResidencial baixa renda – faixa 04Não se aplicaNão se aplicaIntermediário",Mercado_Receita!$L$2:$L$225)+SUMIF(Mercado_Receita!$S$2:$S$225,"44682B1Convencional pré-pagamentoResidencialResidencial baixa renda – faixa 04Não se aplicaNão se aplicaNão se aplica",Mercado_Receita!$L$2:$L$225)</f>
        <v>0</v>
      </c>
      <c r="R26" s="13">
        <f>SUMIF(Mercado_Receita!$S$2:$S$225,"44713B1Convencional pré-pagamentoResidencialResidencial baixa renda – faixa 04Não se aplicaNão se aplicaPonta",Mercado_Receita!$L$2:$L$225)+SUMIF(Mercado_Receita!$S$2:$S$225,"44713B1Convencional pré-pagamentoResidencialResidencial baixa renda – faixa 04Não se aplicaNão se aplicaFora ponta",Mercado_Receita!$L$2:$L$225)+SUMIF(Mercado_Receita!$S$2:$S$225,"44713B1Convencional pré-pagamentoResidencialResidencial baixa renda – faixa 04Não se aplicaNão se aplicaIntermediário",Mercado_Receita!$L$2:$L$225)+SUMIF(Mercado_Receita!$S$2:$S$225,"44713B1Convencional pré-pagamentoResidencialResidencial baixa renda – faixa 04Não se aplicaNão se aplicaNão se aplica",Mercado_Receita!$L$2:$L$225)</f>
        <v>0</v>
      </c>
      <c r="S26" s="13">
        <f>SUMIF(Mercado_Receita!$S$2:$S$225,"44743B1Convencional pré-pagamentoResidencialResidencial baixa renda – faixa 04Não se aplicaNão se aplicaPonta",Mercado_Receita!$L$2:$L$225)+SUMIF(Mercado_Receita!$S$2:$S$225,"44743B1Convencional pré-pagamentoResidencialResidencial baixa renda – faixa 04Não se aplicaNão se aplicaFora ponta",Mercado_Receita!$L$2:$L$225)+SUMIF(Mercado_Receita!$S$2:$S$225,"44743B1Convencional pré-pagamentoResidencialResidencial baixa renda – faixa 04Não se aplicaNão se aplicaIntermediário",Mercado_Receita!$L$2:$L$225)+SUMIF(Mercado_Receita!$S$2:$S$225,"44743B1Convencional pré-pagamentoResidencialResidencial baixa renda – faixa 04Não se aplicaNão se aplicaNão se aplica",Mercado_Receita!$L$2:$L$225)</f>
        <v>0</v>
      </c>
      <c r="T26" s="13">
        <f>SUMIF(Mercado_Receita!$S$2:$S$225,"44774B1Convencional pré-pagamentoResidencialResidencial baixa renda – faixa 04Não se aplicaNão se aplicaPonta",Mercado_Receita!$L$2:$L$225)+SUMIF(Mercado_Receita!$S$2:$S$225,"44774B1Convencional pré-pagamentoResidencialResidencial baixa renda – faixa 04Não se aplicaNão se aplicaFora ponta",Mercado_Receita!$L$2:$L$225)+SUMIF(Mercado_Receita!$S$2:$S$225,"44774B1Convencional pré-pagamentoResidencialResidencial baixa renda – faixa 04Não se aplicaNão se aplicaIntermediário",Mercado_Receita!$L$2:$L$225)+SUMIF(Mercado_Receita!$S$2:$S$225,"44774B1Convencional pré-pagamentoResidencialResidencial baixa renda – faixa 04Não se aplicaNão se aplicaNão se aplica",Mercado_Receita!$L$2:$L$225)</f>
        <v>0</v>
      </c>
      <c r="U26" s="13">
        <f t="shared" si="0"/>
        <v>0</v>
      </c>
      <c r="V26" s="13"/>
      <c r="W26" s="13"/>
    </row>
    <row r="27" spans="1:23" ht="11.25" customHeight="1" x14ac:dyDescent="0.3">
      <c r="A27" s="76" t="s">
        <v>39</v>
      </c>
      <c r="B27" s="76" t="s">
        <v>82</v>
      </c>
      <c r="C27" s="76" t="s">
        <v>40</v>
      </c>
      <c r="D27" s="76" t="s">
        <v>25</v>
      </c>
      <c r="E27" s="76" t="s">
        <v>25</v>
      </c>
      <c r="F27" s="76" t="s">
        <v>25</v>
      </c>
      <c r="G27" s="13" t="s">
        <v>69</v>
      </c>
      <c r="H27" s="13" t="s">
        <v>68</v>
      </c>
      <c r="I27" s="13">
        <f>SUMIF(Mercado_Receita!$S$2:$S$225,"44440B2BrancaRuralNão se aplicaNão se aplicaNão se aplicaPonta",Mercado_Receita!$L$2:$L$225)</f>
        <v>0</v>
      </c>
      <c r="J27" s="13">
        <f>SUMIF(Mercado_Receita!$S$2:$S$225,"44470B2BrancaRuralNão se aplicaNão se aplicaNão se aplicaPonta",Mercado_Receita!$L$2:$L$225)</f>
        <v>0</v>
      </c>
      <c r="K27" s="13">
        <f>SUMIF(Mercado_Receita!$S$2:$S$225,"44501B2BrancaRuralNão se aplicaNão se aplicaNão se aplicaPonta",Mercado_Receita!$L$2:$L$225)</f>
        <v>0</v>
      </c>
      <c r="L27" s="13">
        <f>SUMIF(Mercado_Receita!$S$2:$S$225,"44531B2BrancaRuralNão se aplicaNão se aplicaNão se aplicaPonta",Mercado_Receita!$L$2:$L$225)</f>
        <v>0</v>
      </c>
      <c r="M27" s="13">
        <f>SUMIF(Mercado_Receita!$S$2:$S$225,"44562B2BrancaRuralNão se aplicaNão se aplicaNão se aplicaPonta",Mercado_Receita!$L$2:$L$225)</f>
        <v>0</v>
      </c>
      <c r="N27" s="13">
        <f>SUMIF(Mercado_Receita!$S$2:$S$225,"44593B2BrancaRuralNão se aplicaNão se aplicaNão se aplicaPonta",Mercado_Receita!$L$2:$L$225)</f>
        <v>0</v>
      </c>
      <c r="O27" s="13">
        <f>SUMIF(Mercado_Receita!$S$2:$S$225,"44621B2BrancaRuralNão se aplicaNão se aplicaNão se aplicaPonta",Mercado_Receita!$L$2:$L$225)</f>
        <v>0</v>
      </c>
      <c r="P27" s="13">
        <f>SUMIF(Mercado_Receita!$S$2:$S$225,"44652B2BrancaRuralNão se aplicaNão se aplicaNão se aplicaPonta",Mercado_Receita!$L$2:$L$225)</f>
        <v>0</v>
      </c>
      <c r="Q27" s="13">
        <f>SUMIF(Mercado_Receita!$S$2:$S$225,"44682B2BrancaRuralNão se aplicaNão se aplicaNão se aplicaPonta",Mercado_Receita!$L$2:$L$225)</f>
        <v>0</v>
      </c>
      <c r="R27" s="13">
        <f>SUMIF(Mercado_Receita!$S$2:$S$225,"44713B2BrancaRuralNão se aplicaNão se aplicaNão se aplicaPonta",Mercado_Receita!$L$2:$L$225)</f>
        <v>0</v>
      </c>
      <c r="S27" s="13">
        <f>SUMIF(Mercado_Receita!$S$2:$S$225,"44743B2BrancaRuralNão se aplicaNão se aplicaNão se aplicaPonta",Mercado_Receita!$L$2:$L$225)</f>
        <v>0</v>
      </c>
      <c r="T27" s="13">
        <f>SUMIF(Mercado_Receita!$S$2:$S$225,"44774B2BrancaRuralNão se aplicaNão se aplicaNão se aplicaPonta",Mercado_Receita!$L$2:$L$225)</f>
        <v>0</v>
      </c>
      <c r="U27" s="13">
        <f t="shared" si="0"/>
        <v>0</v>
      </c>
      <c r="V27" s="13"/>
      <c r="W27" s="13"/>
    </row>
    <row r="28" spans="1:23" ht="11.25" customHeight="1" x14ac:dyDescent="0.3">
      <c r="A28" s="77"/>
      <c r="B28" s="77"/>
      <c r="C28" s="77"/>
      <c r="D28" s="77"/>
      <c r="E28" s="77"/>
      <c r="F28" s="77"/>
      <c r="G28" s="13" t="s">
        <v>80</v>
      </c>
      <c r="H28" s="13" t="s">
        <v>68</v>
      </c>
      <c r="I28" s="13">
        <f>SUMIF(Mercado_Receita!$S$2:$S$225,"44440B2BrancaRuralNão se aplicaNão se aplicaNão se aplicaIntermediário",Mercado_Receita!$L$2:$L$225)</f>
        <v>0</v>
      </c>
      <c r="J28" s="13">
        <f>SUMIF(Mercado_Receita!$S$2:$S$225,"44470B2BrancaRuralNão se aplicaNão se aplicaNão se aplicaIntermediário",Mercado_Receita!$L$2:$L$225)</f>
        <v>0</v>
      </c>
      <c r="K28" s="13">
        <f>SUMIF(Mercado_Receita!$S$2:$S$225,"44501B2BrancaRuralNão se aplicaNão se aplicaNão se aplicaIntermediário",Mercado_Receita!$L$2:$L$225)</f>
        <v>0</v>
      </c>
      <c r="L28" s="13">
        <f>SUMIF(Mercado_Receita!$S$2:$S$225,"44531B2BrancaRuralNão se aplicaNão se aplicaNão se aplicaIntermediário",Mercado_Receita!$L$2:$L$225)</f>
        <v>0</v>
      </c>
      <c r="M28" s="13">
        <f>SUMIF(Mercado_Receita!$S$2:$S$225,"44562B2BrancaRuralNão se aplicaNão se aplicaNão se aplicaIntermediário",Mercado_Receita!$L$2:$L$225)</f>
        <v>0</v>
      </c>
      <c r="N28" s="13">
        <f>SUMIF(Mercado_Receita!$S$2:$S$225,"44593B2BrancaRuralNão se aplicaNão se aplicaNão se aplicaIntermediário",Mercado_Receita!$L$2:$L$225)</f>
        <v>0</v>
      </c>
      <c r="O28" s="13">
        <f>SUMIF(Mercado_Receita!$S$2:$S$225,"44621B2BrancaRuralNão se aplicaNão se aplicaNão se aplicaIntermediário",Mercado_Receita!$L$2:$L$225)</f>
        <v>0</v>
      </c>
      <c r="P28" s="13">
        <f>SUMIF(Mercado_Receita!$S$2:$S$225,"44652B2BrancaRuralNão se aplicaNão se aplicaNão se aplicaIntermediário",Mercado_Receita!$L$2:$L$225)</f>
        <v>0</v>
      </c>
      <c r="Q28" s="13">
        <f>SUMIF(Mercado_Receita!$S$2:$S$225,"44682B2BrancaRuralNão se aplicaNão se aplicaNão se aplicaIntermediário",Mercado_Receita!$L$2:$L$225)</f>
        <v>0</v>
      </c>
      <c r="R28" s="13">
        <f>SUMIF(Mercado_Receita!$S$2:$S$225,"44713B2BrancaRuralNão se aplicaNão se aplicaNão se aplicaIntermediário",Mercado_Receita!$L$2:$L$225)</f>
        <v>0</v>
      </c>
      <c r="S28" s="13">
        <f>SUMIF(Mercado_Receita!$S$2:$S$225,"44743B2BrancaRuralNão se aplicaNão se aplicaNão se aplicaIntermediário",Mercado_Receita!$L$2:$L$225)</f>
        <v>0</v>
      </c>
      <c r="T28" s="13">
        <f>SUMIF(Mercado_Receita!$S$2:$S$225,"44774B2BrancaRuralNão se aplicaNão se aplicaNão se aplicaIntermediário",Mercado_Receita!$L$2:$L$225)</f>
        <v>0</v>
      </c>
      <c r="U28" s="13">
        <f t="shared" si="0"/>
        <v>0</v>
      </c>
      <c r="V28" s="13"/>
      <c r="W28" s="13"/>
    </row>
    <row r="29" spans="1:23" ht="11.25" customHeight="1" x14ac:dyDescent="0.3">
      <c r="A29" s="77"/>
      <c r="B29" s="77"/>
      <c r="C29" s="77"/>
      <c r="D29" s="77"/>
      <c r="E29" s="77"/>
      <c r="F29" s="77"/>
      <c r="G29" s="13" t="s">
        <v>70</v>
      </c>
      <c r="H29" s="13" t="s">
        <v>68</v>
      </c>
      <c r="I29" s="13">
        <f>SUMIF(Mercado_Receita!$S$2:$S$225,"44440B2BrancaRuralNão se aplicaNão se aplicaNão se aplicaFora ponta",Mercado_Receita!$L$2:$L$225)</f>
        <v>0</v>
      </c>
      <c r="J29" s="13">
        <f>SUMIF(Mercado_Receita!$S$2:$S$225,"44470B2BrancaRuralNão se aplicaNão se aplicaNão se aplicaFora ponta",Mercado_Receita!$L$2:$L$225)</f>
        <v>0</v>
      </c>
      <c r="K29" s="13">
        <f>SUMIF(Mercado_Receita!$S$2:$S$225,"44501B2BrancaRuralNão se aplicaNão se aplicaNão se aplicaFora ponta",Mercado_Receita!$L$2:$L$225)</f>
        <v>0</v>
      </c>
      <c r="L29" s="13">
        <f>SUMIF(Mercado_Receita!$S$2:$S$225,"44531B2BrancaRuralNão se aplicaNão se aplicaNão se aplicaFora ponta",Mercado_Receita!$L$2:$L$225)</f>
        <v>0</v>
      </c>
      <c r="M29" s="13">
        <f>SUMIF(Mercado_Receita!$S$2:$S$225,"44562B2BrancaRuralNão se aplicaNão se aplicaNão se aplicaFora ponta",Mercado_Receita!$L$2:$L$225)</f>
        <v>0</v>
      </c>
      <c r="N29" s="13">
        <f>SUMIF(Mercado_Receita!$S$2:$S$225,"44593B2BrancaRuralNão se aplicaNão se aplicaNão se aplicaFora ponta",Mercado_Receita!$L$2:$L$225)</f>
        <v>0</v>
      </c>
      <c r="O29" s="13">
        <f>SUMIF(Mercado_Receita!$S$2:$S$225,"44621B2BrancaRuralNão se aplicaNão se aplicaNão se aplicaFora ponta",Mercado_Receita!$L$2:$L$225)</f>
        <v>0</v>
      </c>
      <c r="P29" s="13">
        <f>SUMIF(Mercado_Receita!$S$2:$S$225,"44652B2BrancaRuralNão se aplicaNão se aplicaNão se aplicaFora ponta",Mercado_Receita!$L$2:$L$225)</f>
        <v>0</v>
      </c>
      <c r="Q29" s="13">
        <f>SUMIF(Mercado_Receita!$S$2:$S$225,"44682B2BrancaRuralNão se aplicaNão se aplicaNão se aplicaFora ponta",Mercado_Receita!$L$2:$L$225)</f>
        <v>0</v>
      </c>
      <c r="R29" s="13">
        <f>SUMIF(Mercado_Receita!$S$2:$S$225,"44713B2BrancaRuralNão se aplicaNão se aplicaNão se aplicaFora ponta",Mercado_Receita!$L$2:$L$225)</f>
        <v>0</v>
      </c>
      <c r="S29" s="13">
        <f>SUMIF(Mercado_Receita!$S$2:$S$225,"44743B2BrancaRuralNão se aplicaNão se aplicaNão se aplicaFora ponta",Mercado_Receita!$L$2:$L$225)</f>
        <v>0</v>
      </c>
      <c r="T29" s="13">
        <f>SUMIF(Mercado_Receita!$S$2:$S$225,"44774B2BrancaRuralNão se aplicaNão se aplicaNão se aplicaFora ponta",Mercado_Receita!$L$2:$L$225)</f>
        <v>0</v>
      </c>
      <c r="U29" s="13">
        <f t="shared" si="0"/>
        <v>0</v>
      </c>
      <c r="V29" s="13"/>
      <c r="W29" s="13"/>
    </row>
    <row r="30" spans="1:23" ht="11.25" customHeight="1" x14ac:dyDescent="0.3">
      <c r="A30" s="77"/>
      <c r="B30" s="12" t="s">
        <v>23</v>
      </c>
      <c r="C30" s="12" t="s">
        <v>40</v>
      </c>
      <c r="D30" s="12" t="s">
        <v>25</v>
      </c>
      <c r="E30" s="12" t="s">
        <v>25</v>
      </c>
      <c r="F30" s="12" t="s">
        <v>25</v>
      </c>
      <c r="G30" s="13" t="s">
        <v>74</v>
      </c>
      <c r="H30" s="13" t="s">
        <v>68</v>
      </c>
      <c r="I30" s="13">
        <f>SUMIF(Mercado_Receita!$S$2:$S$225,"44440B2ConvencionalRuralNão se aplicaNão se aplicaNão se aplicaPonta",Mercado_Receita!$L$2:$L$225)+SUMIF(Mercado_Receita!$S$2:$S$225,"44440B2ConvencionalRuralNão se aplicaNão se aplicaNão se aplicaFora ponta",Mercado_Receita!$L$2:$L$225)+SUMIF(Mercado_Receita!$S$2:$S$225,"44440B2ConvencionalRuralNão se aplicaNão se aplicaNão se aplicaIntermediário",Mercado_Receita!$L$2:$L$225)+SUMIF(Mercado_Receita!$S$2:$S$225,"44440B2ConvencionalRuralNão se aplicaNão se aplicaNão se aplicaNão se aplica",Mercado_Receita!$L$2:$L$225)</f>
        <v>452.40800000000002</v>
      </c>
      <c r="J30" s="13">
        <f>SUMIF(Mercado_Receita!$S$2:$S$225,"44470B2ConvencionalRuralNão se aplicaNão se aplicaNão se aplicaPonta",Mercado_Receita!$L$2:$L$225)+SUMIF(Mercado_Receita!$S$2:$S$225,"44470B2ConvencionalRuralNão se aplicaNão se aplicaNão se aplicaFora ponta",Mercado_Receita!$L$2:$L$225)+SUMIF(Mercado_Receita!$S$2:$S$225,"44470B2ConvencionalRuralNão se aplicaNão se aplicaNão se aplicaIntermediário",Mercado_Receita!$L$2:$L$225)+SUMIF(Mercado_Receita!$S$2:$S$225,"44470B2ConvencionalRuralNão se aplicaNão se aplicaNão se aplicaNão se aplica",Mercado_Receita!$L$2:$L$225)</f>
        <v>461.31400000000002</v>
      </c>
      <c r="K30" s="13">
        <f>SUMIF(Mercado_Receita!$S$2:$S$225,"44501B2ConvencionalRuralNão se aplicaNão se aplicaNão se aplicaPonta",Mercado_Receita!$L$2:$L$225)+SUMIF(Mercado_Receita!$S$2:$S$225,"44501B2ConvencionalRuralNão se aplicaNão se aplicaNão se aplicaFora ponta",Mercado_Receita!$L$2:$L$225)+SUMIF(Mercado_Receita!$S$2:$S$225,"44501B2ConvencionalRuralNão se aplicaNão se aplicaNão se aplicaIntermediário",Mercado_Receita!$L$2:$L$225)+SUMIF(Mercado_Receita!$S$2:$S$225,"44501B2ConvencionalRuralNão se aplicaNão se aplicaNão se aplicaNão se aplica",Mercado_Receita!$L$2:$L$225)</f>
        <v>554.74200000000008</v>
      </c>
      <c r="L30" s="13">
        <f>SUMIF(Mercado_Receita!$S$2:$S$225,"44531B2ConvencionalRuralNão se aplicaNão se aplicaNão se aplicaPonta",Mercado_Receita!$L$2:$L$225)+SUMIF(Mercado_Receita!$S$2:$S$225,"44531B2ConvencionalRuralNão se aplicaNão se aplicaNão se aplicaFora ponta",Mercado_Receita!$L$2:$L$225)+SUMIF(Mercado_Receita!$S$2:$S$225,"44531B2ConvencionalRuralNão se aplicaNão se aplicaNão se aplicaIntermediário",Mercado_Receita!$L$2:$L$225)+SUMIF(Mercado_Receita!$S$2:$S$225,"44531B2ConvencionalRuralNão se aplicaNão se aplicaNão se aplicaNão se aplica",Mercado_Receita!$L$2:$L$225)</f>
        <v>494.56100000000004</v>
      </c>
      <c r="M30" s="13">
        <f>SUMIF(Mercado_Receita!$S$2:$S$225,"44562B2ConvencionalRuralNão se aplicaNão se aplicaNão se aplicaPonta",Mercado_Receita!$L$2:$L$225)+SUMIF(Mercado_Receita!$S$2:$S$225,"44562B2ConvencionalRuralNão se aplicaNão se aplicaNão se aplicaFora ponta",Mercado_Receita!$L$2:$L$225)+SUMIF(Mercado_Receita!$S$2:$S$225,"44562B2ConvencionalRuralNão se aplicaNão se aplicaNão se aplicaIntermediário",Mercado_Receita!$L$2:$L$225)+SUMIF(Mercado_Receita!$S$2:$S$225,"44562B2ConvencionalRuralNão se aplicaNão se aplicaNão se aplicaNão se aplica",Mercado_Receita!$L$2:$L$225)</f>
        <v>571.404</v>
      </c>
      <c r="N30" s="13">
        <f>SUMIF(Mercado_Receita!$S$2:$S$225,"44593B2ConvencionalRuralNão se aplicaNão se aplicaNão se aplicaPonta",Mercado_Receita!$L$2:$L$225)+SUMIF(Mercado_Receita!$S$2:$S$225,"44593B2ConvencionalRuralNão se aplicaNão se aplicaNão se aplicaFora ponta",Mercado_Receita!$L$2:$L$225)+SUMIF(Mercado_Receita!$S$2:$S$225,"44593B2ConvencionalRuralNão se aplicaNão se aplicaNão se aplicaIntermediário",Mercado_Receita!$L$2:$L$225)+SUMIF(Mercado_Receita!$S$2:$S$225,"44593B2ConvencionalRuralNão se aplicaNão se aplicaNão se aplicaNão se aplica",Mercado_Receita!$L$2:$L$225)</f>
        <v>473.19900000000007</v>
      </c>
      <c r="O30" s="13">
        <f>SUMIF(Mercado_Receita!$S$2:$S$225,"44621B2ConvencionalRuralNão se aplicaNão se aplicaNão se aplicaPonta",Mercado_Receita!$L$2:$L$225)+SUMIF(Mercado_Receita!$S$2:$S$225,"44621B2ConvencionalRuralNão se aplicaNão se aplicaNão se aplicaFora ponta",Mercado_Receita!$L$2:$L$225)+SUMIF(Mercado_Receita!$S$2:$S$225,"44621B2ConvencionalRuralNão se aplicaNão se aplicaNão se aplicaIntermediário",Mercado_Receita!$L$2:$L$225)+SUMIF(Mercado_Receita!$S$2:$S$225,"44621B2ConvencionalRuralNão se aplicaNão se aplicaNão se aplicaNão se aplica",Mercado_Receita!$L$2:$L$225)</f>
        <v>481.07500000000005</v>
      </c>
      <c r="P30" s="13">
        <f>SUMIF(Mercado_Receita!$S$2:$S$225,"44652B2ConvencionalRuralNão se aplicaNão se aplicaNão se aplicaPonta",Mercado_Receita!$L$2:$L$225)+SUMIF(Mercado_Receita!$S$2:$S$225,"44652B2ConvencionalRuralNão se aplicaNão se aplicaNão se aplicaFora ponta",Mercado_Receita!$L$2:$L$225)+SUMIF(Mercado_Receita!$S$2:$S$225,"44652B2ConvencionalRuralNão se aplicaNão se aplicaNão se aplicaIntermediário",Mercado_Receita!$L$2:$L$225)+SUMIF(Mercado_Receita!$S$2:$S$225,"44652B2ConvencionalRuralNão se aplicaNão se aplicaNão se aplicaNão se aplica",Mercado_Receita!$L$2:$L$225)</f>
        <v>443.35400000000004</v>
      </c>
      <c r="Q30" s="13">
        <f>SUMIF(Mercado_Receita!$S$2:$S$225,"44682B2ConvencionalRuralNão se aplicaNão se aplicaNão se aplicaPonta",Mercado_Receita!$L$2:$L$225)+SUMIF(Mercado_Receita!$S$2:$S$225,"44682B2ConvencionalRuralNão se aplicaNão se aplicaNão se aplicaFora ponta",Mercado_Receita!$L$2:$L$225)+SUMIF(Mercado_Receita!$S$2:$S$225,"44682B2ConvencionalRuralNão se aplicaNão se aplicaNão se aplicaIntermediário",Mercado_Receita!$L$2:$L$225)+SUMIF(Mercado_Receita!$S$2:$S$225,"44682B2ConvencionalRuralNão se aplicaNão se aplicaNão se aplicaNão se aplica",Mercado_Receita!$L$2:$L$225)</f>
        <v>454.54500000000002</v>
      </c>
      <c r="R30" s="13">
        <f>SUMIF(Mercado_Receita!$S$2:$S$225,"44713B2ConvencionalRuralNão se aplicaNão se aplicaNão se aplicaPonta",Mercado_Receita!$L$2:$L$225)+SUMIF(Mercado_Receita!$S$2:$S$225,"44713B2ConvencionalRuralNão se aplicaNão se aplicaNão se aplicaFora ponta",Mercado_Receita!$L$2:$L$225)+SUMIF(Mercado_Receita!$S$2:$S$225,"44713B2ConvencionalRuralNão se aplicaNão se aplicaNão se aplicaIntermediário",Mercado_Receita!$L$2:$L$225)+SUMIF(Mercado_Receita!$S$2:$S$225,"44713B2ConvencionalRuralNão se aplicaNão se aplicaNão se aplicaNão se aplica",Mercado_Receita!$L$2:$L$225)</f>
        <v>436.846</v>
      </c>
      <c r="S30" s="13">
        <f>SUMIF(Mercado_Receita!$S$2:$S$225,"44743B2ConvencionalRuralNão se aplicaNão se aplicaNão se aplicaPonta",Mercado_Receita!$L$2:$L$225)+SUMIF(Mercado_Receita!$S$2:$S$225,"44743B2ConvencionalRuralNão se aplicaNão se aplicaNão se aplicaFora ponta",Mercado_Receita!$L$2:$L$225)+SUMIF(Mercado_Receita!$S$2:$S$225,"44743B2ConvencionalRuralNão se aplicaNão se aplicaNão se aplicaIntermediário",Mercado_Receita!$L$2:$L$225)+SUMIF(Mercado_Receita!$S$2:$S$225,"44743B2ConvencionalRuralNão se aplicaNão se aplicaNão se aplicaNão se aplica",Mercado_Receita!$L$2:$L$225)</f>
        <v>445.43399999999997</v>
      </c>
      <c r="T30" s="13">
        <f>SUMIF(Mercado_Receita!$S$2:$S$225,"44774B2ConvencionalRuralNão se aplicaNão se aplicaNão se aplicaPonta",Mercado_Receita!$L$2:$L$225)+SUMIF(Mercado_Receita!$S$2:$S$225,"44774B2ConvencionalRuralNão se aplicaNão se aplicaNão se aplicaFora ponta",Mercado_Receita!$L$2:$L$225)+SUMIF(Mercado_Receita!$S$2:$S$225,"44774B2ConvencionalRuralNão se aplicaNão se aplicaNão se aplicaIntermediário",Mercado_Receita!$L$2:$L$225)+SUMIF(Mercado_Receita!$S$2:$S$225,"44774B2ConvencionalRuralNão se aplicaNão se aplicaNão se aplicaNão se aplica",Mercado_Receita!$L$2:$L$225)</f>
        <v>464.18900000000002</v>
      </c>
      <c r="U30" s="13">
        <f t="shared" si="0"/>
        <v>5733.0710000000008</v>
      </c>
      <c r="V30" s="13"/>
      <c r="W30" s="13"/>
    </row>
    <row r="31" spans="1:23" ht="11.25" customHeight="1" x14ac:dyDescent="0.3">
      <c r="A31" s="77"/>
      <c r="B31" s="76" t="s">
        <v>82</v>
      </c>
      <c r="C31" s="76" t="s">
        <v>40</v>
      </c>
      <c r="D31" s="76" t="s">
        <v>85</v>
      </c>
      <c r="E31" s="76" t="s">
        <v>25</v>
      </c>
      <c r="F31" s="76" t="s">
        <v>25</v>
      </c>
      <c r="G31" s="13" t="s">
        <v>69</v>
      </c>
      <c r="H31" s="13" t="s">
        <v>68</v>
      </c>
      <c r="I31" s="13">
        <f>SUMIF(Mercado_Receita!$S$2:$S$225,"44440B2BrancaRuralCooperativa de eletrificação ruralNão se aplicaNão se aplicaPonta",Mercado_Receita!$L$2:$L$225)</f>
        <v>0</v>
      </c>
      <c r="J31" s="13">
        <f>SUMIF(Mercado_Receita!$S$2:$S$225,"44470B2BrancaRuralCooperativa de eletrificação ruralNão se aplicaNão se aplicaPonta",Mercado_Receita!$L$2:$L$225)</f>
        <v>0</v>
      </c>
      <c r="K31" s="13">
        <f>SUMIF(Mercado_Receita!$S$2:$S$225,"44501B2BrancaRuralCooperativa de eletrificação ruralNão se aplicaNão se aplicaPonta",Mercado_Receita!$L$2:$L$225)</f>
        <v>0</v>
      </c>
      <c r="L31" s="13">
        <f>SUMIF(Mercado_Receita!$S$2:$S$225,"44531B2BrancaRuralCooperativa de eletrificação ruralNão se aplicaNão se aplicaPonta",Mercado_Receita!$L$2:$L$225)</f>
        <v>0</v>
      </c>
      <c r="M31" s="13">
        <f>SUMIF(Mercado_Receita!$S$2:$S$225,"44562B2BrancaRuralCooperativa de eletrificação ruralNão se aplicaNão se aplicaPonta",Mercado_Receita!$L$2:$L$225)</f>
        <v>0</v>
      </c>
      <c r="N31" s="13">
        <f>SUMIF(Mercado_Receita!$S$2:$S$225,"44593B2BrancaRuralCooperativa de eletrificação ruralNão se aplicaNão se aplicaPonta",Mercado_Receita!$L$2:$L$225)</f>
        <v>0</v>
      </c>
      <c r="O31" s="13">
        <f>SUMIF(Mercado_Receita!$S$2:$S$225,"44621B2BrancaRuralCooperativa de eletrificação ruralNão se aplicaNão se aplicaPonta",Mercado_Receita!$L$2:$L$225)</f>
        <v>0</v>
      </c>
      <c r="P31" s="13">
        <f>SUMIF(Mercado_Receita!$S$2:$S$225,"44652B2BrancaRuralCooperativa de eletrificação ruralNão se aplicaNão se aplicaPonta",Mercado_Receita!$L$2:$L$225)</f>
        <v>0</v>
      </c>
      <c r="Q31" s="13">
        <f>SUMIF(Mercado_Receita!$S$2:$S$225,"44682B2BrancaRuralCooperativa de eletrificação ruralNão se aplicaNão se aplicaPonta",Mercado_Receita!$L$2:$L$225)</f>
        <v>0</v>
      </c>
      <c r="R31" s="13">
        <f>SUMIF(Mercado_Receita!$S$2:$S$225,"44713B2BrancaRuralCooperativa de eletrificação ruralNão se aplicaNão se aplicaPonta",Mercado_Receita!$L$2:$L$225)</f>
        <v>0</v>
      </c>
      <c r="S31" s="13">
        <f>SUMIF(Mercado_Receita!$S$2:$S$225,"44743B2BrancaRuralCooperativa de eletrificação ruralNão se aplicaNão se aplicaPonta",Mercado_Receita!$L$2:$L$225)</f>
        <v>0</v>
      </c>
      <c r="T31" s="13">
        <f>SUMIF(Mercado_Receita!$S$2:$S$225,"44774B2BrancaRuralCooperativa de eletrificação ruralNão se aplicaNão se aplicaPonta",Mercado_Receita!$L$2:$L$225)</f>
        <v>0</v>
      </c>
      <c r="U31" s="13">
        <f t="shared" si="0"/>
        <v>0</v>
      </c>
      <c r="V31" s="13"/>
      <c r="W31" s="13"/>
    </row>
    <row r="32" spans="1:23" ht="11.25" customHeight="1" x14ac:dyDescent="0.3">
      <c r="A32" s="77"/>
      <c r="B32" s="77"/>
      <c r="C32" s="77"/>
      <c r="D32" s="77"/>
      <c r="E32" s="77"/>
      <c r="F32" s="77"/>
      <c r="G32" s="13" t="s">
        <v>80</v>
      </c>
      <c r="H32" s="13" t="s">
        <v>68</v>
      </c>
      <c r="I32" s="13">
        <f>SUMIF(Mercado_Receita!$S$2:$S$225,"44440B2BrancaRuralCooperativa de eletrificação ruralNão se aplicaNão se aplicaIntermediário",Mercado_Receita!$L$2:$L$225)</f>
        <v>0</v>
      </c>
      <c r="J32" s="13">
        <f>SUMIF(Mercado_Receita!$S$2:$S$225,"44470B2BrancaRuralCooperativa de eletrificação ruralNão se aplicaNão se aplicaIntermediário",Mercado_Receita!$L$2:$L$225)</f>
        <v>0</v>
      </c>
      <c r="K32" s="13">
        <f>SUMIF(Mercado_Receita!$S$2:$S$225,"44501B2BrancaRuralCooperativa de eletrificação ruralNão se aplicaNão se aplicaIntermediário",Mercado_Receita!$L$2:$L$225)</f>
        <v>0</v>
      </c>
      <c r="L32" s="13">
        <f>SUMIF(Mercado_Receita!$S$2:$S$225,"44531B2BrancaRuralCooperativa de eletrificação ruralNão se aplicaNão se aplicaIntermediário",Mercado_Receita!$L$2:$L$225)</f>
        <v>0</v>
      </c>
      <c r="M32" s="13">
        <f>SUMIF(Mercado_Receita!$S$2:$S$225,"44562B2BrancaRuralCooperativa de eletrificação ruralNão se aplicaNão se aplicaIntermediário",Mercado_Receita!$L$2:$L$225)</f>
        <v>0</v>
      </c>
      <c r="N32" s="13">
        <f>SUMIF(Mercado_Receita!$S$2:$S$225,"44593B2BrancaRuralCooperativa de eletrificação ruralNão se aplicaNão se aplicaIntermediário",Mercado_Receita!$L$2:$L$225)</f>
        <v>0</v>
      </c>
      <c r="O32" s="13">
        <f>SUMIF(Mercado_Receita!$S$2:$S$225,"44621B2BrancaRuralCooperativa de eletrificação ruralNão se aplicaNão se aplicaIntermediário",Mercado_Receita!$L$2:$L$225)</f>
        <v>0</v>
      </c>
      <c r="P32" s="13">
        <f>SUMIF(Mercado_Receita!$S$2:$S$225,"44652B2BrancaRuralCooperativa de eletrificação ruralNão se aplicaNão se aplicaIntermediário",Mercado_Receita!$L$2:$L$225)</f>
        <v>0</v>
      </c>
      <c r="Q32" s="13">
        <f>SUMIF(Mercado_Receita!$S$2:$S$225,"44682B2BrancaRuralCooperativa de eletrificação ruralNão se aplicaNão se aplicaIntermediário",Mercado_Receita!$L$2:$L$225)</f>
        <v>0</v>
      </c>
      <c r="R32" s="13">
        <f>SUMIF(Mercado_Receita!$S$2:$S$225,"44713B2BrancaRuralCooperativa de eletrificação ruralNão se aplicaNão se aplicaIntermediário",Mercado_Receita!$L$2:$L$225)</f>
        <v>0</v>
      </c>
      <c r="S32" s="13">
        <f>SUMIF(Mercado_Receita!$S$2:$S$225,"44743B2BrancaRuralCooperativa de eletrificação ruralNão se aplicaNão se aplicaIntermediário",Mercado_Receita!$L$2:$L$225)</f>
        <v>0</v>
      </c>
      <c r="T32" s="13">
        <f>SUMIF(Mercado_Receita!$S$2:$S$225,"44774B2BrancaRuralCooperativa de eletrificação ruralNão se aplicaNão se aplicaIntermediário",Mercado_Receita!$L$2:$L$225)</f>
        <v>0</v>
      </c>
      <c r="U32" s="13">
        <f t="shared" si="0"/>
        <v>0</v>
      </c>
      <c r="V32" s="13"/>
      <c r="W32" s="13"/>
    </row>
    <row r="33" spans="1:23" ht="11.25" customHeight="1" x14ac:dyDescent="0.3">
      <c r="A33" s="77"/>
      <c r="B33" s="77"/>
      <c r="C33" s="77"/>
      <c r="D33" s="77"/>
      <c r="E33" s="77"/>
      <c r="F33" s="77"/>
      <c r="G33" s="13" t="s">
        <v>70</v>
      </c>
      <c r="H33" s="13" t="s">
        <v>68</v>
      </c>
      <c r="I33" s="13">
        <f>SUMIF(Mercado_Receita!$S$2:$S$225,"44440B2BrancaRuralCooperativa de eletrificação ruralNão se aplicaNão se aplicaFora ponta",Mercado_Receita!$L$2:$L$225)</f>
        <v>0</v>
      </c>
      <c r="J33" s="13">
        <f>SUMIF(Mercado_Receita!$S$2:$S$225,"44470B2BrancaRuralCooperativa de eletrificação ruralNão se aplicaNão se aplicaFora ponta",Mercado_Receita!$L$2:$L$225)</f>
        <v>0</v>
      </c>
      <c r="K33" s="13">
        <f>SUMIF(Mercado_Receita!$S$2:$S$225,"44501B2BrancaRuralCooperativa de eletrificação ruralNão se aplicaNão se aplicaFora ponta",Mercado_Receita!$L$2:$L$225)</f>
        <v>0</v>
      </c>
      <c r="L33" s="13">
        <f>SUMIF(Mercado_Receita!$S$2:$S$225,"44531B2BrancaRuralCooperativa de eletrificação ruralNão se aplicaNão se aplicaFora ponta",Mercado_Receita!$L$2:$L$225)</f>
        <v>0</v>
      </c>
      <c r="M33" s="13">
        <f>SUMIF(Mercado_Receita!$S$2:$S$225,"44562B2BrancaRuralCooperativa de eletrificação ruralNão se aplicaNão se aplicaFora ponta",Mercado_Receita!$L$2:$L$225)</f>
        <v>0</v>
      </c>
      <c r="N33" s="13">
        <f>SUMIF(Mercado_Receita!$S$2:$S$225,"44593B2BrancaRuralCooperativa de eletrificação ruralNão se aplicaNão se aplicaFora ponta",Mercado_Receita!$L$2:$L$225)</f>
        <v>0</v>
      </c>
      <c r="O33" s="13">
        <f>SUMIF(Mercado_Receita!$S$2:$S$225,"44621B2BrancaRuralCooperativa de eletrificação ruralNão se aplicaNão se aplicaFora ponta",Mercado_Receita!$L$2:$L$225)</f>
        <v>0</v>
      </c>
      <c r="P33" s="13">
        <f>SUMIF(Mercado_Receita!$S$2:$S$225,"44652B2BrancaRuralCooperativa de eletrificação ruralNão se aplicaNão se aplicaFora ponta",Mercado_Receita!$L$2:$L$225)</f>
        <v>0</v>
      </c>
      <c r="Q33" s="13">
        <f>SUMIF(Mercado_Receita!$S$2:$S$225,"44682B2BrancaRuralCooperativa de eletrificação ruralNão se aplicaNão se aplicaFora ponta",Mercado_Receita!$L$2:$L$225)</f>
        <v>0</v>
      </c>
      <c r="R33" s="13">
        <f>SUMIF(Mercado_Receita!$S$2:$S$225,"44713B2BrancaRuralCooperativa de eletrificação ruralNão se aplicaNão se aplicaFora ponta",Mercado_Receita!$L$2:$L$225)</f>
        <v>0</v>
      </c>
      <c r="S33" s="13">
        <f>SUMIF(Mercado_Receita!$S$2:$S$225,"44743B2BrancaRuralCooperativa de eletrificação ruralNão se aplicaNão se aplicaFora ponta",Mercado_Receita!$L$2:$L$225)</f>
        <v>0</v>
      </c>
      <c r="T33" s="13">
        <f>SUMIF(Mercado_Receita!$S$2:$S$225,"44774B2BrancaRuralCooperativa de eletrificação ruralNão se aplicaNão se aplicaFora ponta",Mercado_Receita!$L$2:$L$225)</f>
        <v>0</v>
      </c>
      <c r="U33" s="13">
        <f t="shared" si="0"/>
        <v>0</v>
      </c>
      <c r="V33" s="13"/>
      <c r="W33" s="13"/>
    </row>
    <row r="34" spans="1:23" ht="11.25" customHeight="1" x14ac:dyDescent="0.3">
      <c r="A34" s="77"/>
      <c r="B34" s="12" t="s">
        <v>23</v>
      </c>
      <c r="C34" s="12" t="s">
        <v>40</v>
      </c>
      <c r="D34" s="12" t="s">
        <v>85</v>
      </c>
      <c r="E34" s="12" t="s">
        <v>25</v>
      </c>
      <c r="F34" s="12" t="s">
        <v>25</v>
      </c>
      <c r="G34" s="13" t="s">
        <v>74</v>
      </c>
      <c r="H34" s="13" t="s">
        <v>68</v>
      </c>
      <c r="I34" s="13">
        <f>SUMIF(Mercado_Receita!$S$2:$S$225,"44440B2ConvencionalRuralCooperativa de eletrificação ruralNão se aplicaNão se aplicaPonta",Mercado_Receita!$L$2:$L$225)+SUMIF(Mercado_Receita!$S$2:$S$225,"44440B2ConvencionalRuralCooperativa de eletrificação ruralNão se aplicaNão se aplicaFora ponta",Mercado_Receita!$L$2:$L$225)+SUMIF(Mercado_Receita!$S$2:$S$225,"44440B2ConvencionalRuralCooperativa de eletrificação ruralNão se aplicaNão se aplicaIntermediário",Mercado_Receita!$L$2:$L$225)+SUMIF(Mercado_Receita!$S$2:$S$225,"44440B2ConvencionalRuralCooperativa de eletrificação ruralNão se aplicaNão se aplicaNão se aplica",Mercado_Receita!$L$2:$L$225)</f>
        <v>0</v>
      </c>
      <c r="J34" s="13">
        <f>SUMIF(Mercado_Receita!$S$2:$S$225,"44470B2ConvencionalRuralCooperativa de eletrificação ruralNão se aplicaNão se aplicaPonta",Mercado_Receita!$L$2:$L$225)+SUMIF(Mercado_Receita!$S$2:$S$225,"44470B2ConvencionalRuralCooperativa de eletrificação ruralNão se aplicaNão se aplicaFora ponta",Mercado_Receita!$L$2:$L$225)+SUMIF(Mercado_Receita!$S$2:$S$225,"44470B2ConvencionalRuralCooperativa de eletrificação ruralNão se aplicaNão se aplicaIntermediário",Mercado_Receita!$L$2:$L$225)+SUMIF(Mercado_Receita!$S$2:$S$225,"44470B2ConvencionalRuralCooperativa de eletrificação ruralNão se aplicaNão se aplicaNão se aplica",Mercado_Receita!$L$2:$L$225)</f>
        <v>0</v>
      </c>
      <c r="K34" s="13">
        <f>SUMIF(Mercado_Receita!$S$2:$S$225,"44501B2ConvencionalRuralCooperativa de eletrificação ruralNão se aplicaNão se aplicaPonta",Mercado_Receita!$L$2:$L$225)+SUMIF(Mercado_Receita!$S$2:$S$225,"44501B2ConvencionalRuralCooperativa de eletrificação ruralNão se aplicaNão se aplicaFora ponta",Mercado_Receita!$L$2:$L$225)+SUMIF(Mercado_Receita!$S$2:$S$225,"44501B2ConvencionalRuralCooperativa de eletrificação ruralNão se aplicaNão se aplicaIntermediário",Mercado_Receita!$L$2:$L$225)+SUMIF(Mercado_Receita!$S$2:$S$225,"44501B2ConvencionalRuralCooperativa de eletrificação ruralNão se aplicaNão se aplicaNão se aplica",Mercado_Receita!$L$2:$L$225)</f>
        <v>0</v>
      </c>
      <c r="L34" s="13">
        <f>SUMIF(Mercado_Receita!$S$2:$S$225,"44531B2ConvencionalRuralCooperativa de eletrificação ruralNão se aplicaNão se aplicaPonta",Mercado_Receita!$L$2:$L$225)+SUMIF(Mercado_Receita!$S$2:$S$225,"44531B2ConvencionalRuralCooperativa de eletrificação ruralNão se aplicaNão se aplicaFora ponta",Mercado_Receita!$L$2:$L$225)+SUMIF(Mercado_Receita!$S$2:$S$225,"44531B2ConvencionalRuralCooperativa de eletrificação ruralNão se aplicaNão se aplicaIntermediário",Mercado_Receita!$L$2:$L$225)+SUMIF(Mercado_Receita!$S$2:$S$225,"44531B2ConvencionalRuralCooperativa de eletrificação ruralNão se aplicaNão se aplicaNão se aplica",Mercado_Receita!$L$2:$L$225)</f>
        <v>0</v>
      </c>
      <c r="M34" s="13">
        <f>SUMIF(Mercado_Receita!$S$2:$S$225,"44562B2ConvencionalRuralCooperativa de eletrificação ruralNão se aplicaNão se aplicaPonta",Mercado_Receita!$L$2:$L$225)+SUMIF(Mercado_Receita!$S$2:$S$225,"44562B2ConvencionalRuralCooperativa de eletrificação ruralNão se aplicaNão se aplicaFora ponta",Mercado_Receita!$L$2:$L$225)+SUMIF(Mercado_Receita!$S$2:$S$225,"44562B2ConvencionalRuralCooperativa de eletrificação ruralNão se aplicaNão se aplicaIntermediário",Mercado_Receita!$L$2:$L$225)+SUMIF(Mercado_Receita!$S$2:$S$225,"44562B2ConvencionalRuralCooperativa de eletrificação ruralNão se aplicaNão se aplicaNão se aplica",Mercado_Receita!$L$2:$L$225)</f>
        <v>0</v>
      </c>
      <c r="N34" s="13">
        <f>SUMIF(Mercado_Receita!$S$2:$S$225,"44593B2ConvencionalRuralCooperativa de eletrificação ruralNão se aplicaNão se aplicaPonta",Mercado_Receita!$L$2:$L$225)+SUMIF(Mercado_Receita!$S$2:$S$225,"44593B2ConvencionalRuralCooperativa de eletrificação ruralNão se aplicaNão se aplicaFora ponta",Mercado_Receita!$L$2:$L$225)+SUMIF(Mercado_Receita!$S$2:$S$225,"44593B2ConvencionalRuralCooperativa de eletrificação ruralNão se aplicaNão se aplicaIntermediário",Mercado_Receita!$L$2:$L$225)+SUMIF(Mercado_Receita!$S$2:$S$225,"44593B2ConvencionalRuralCooperativa de eletrificação ruralNão se aplicaNão se aplicaNão se aplica",Mercado_Receita!$L$2:$L$225)</f>
        <v>0</v>
      </c>
      <c r="O34" s="13">
        <f>SUMIF(Mercado_Receita!$S$2:$S$225,"44621B2ConvencionalRuralCooperativa de eletrificação ruralNão se aplicaNão se aplicaPonta",Mercado_Receita!$L$2:$L$225)+SUMIF(Mercado_Receita!$S$2:$S$225,"44621B2ConvencionalRuralCooperativa de eletrificação ruralNão se aplicaNão se aplicaFora ponta",Mercado_Receita!$L$2:$L$225)+SUMIF(Mercado_Receita!$S$2:$S$225,"44621B2ConvencionalRuralCooperativa de eletrificação ruralNão se aplicaNão se aplicaIntermediário",Mercado_Receita!$L$2:$L$225)+SUMIF(Mercado_Receita!$S$2:$S$225,"44621B2ConvencionalRuralCooperativa de eletrificação ruralNão se aplicaNão se aplicaNão se aplica",Mercado_Receita!$L$2:$L$225)</f>
        <v>0</v>
      </c>
      <c r="P34" s="13">
        <f>SUMIF(Mercado_Receita!$S$2:$S$225,"44652B2ConvencionalRuralCooperativa de eletrificação ruralNão se aplicaNão se aplicaPonta",Mercado_Receita!$L$2:$L$225)+SUMIF(Mercado_Receita!$S$2:$S$225,"44652B2ConvencionalRuralCooperativa de eletrificação ruralNão se aplicaNão se aplicaFora ponta",Mercado_Receita!$L$2:$L$225)+SUMIF(Mercado_Receita!$S$2:$S$225,"44652B2ConvencionalRuralCooperativa de eletrificação ruralNão se aplicaNão se aplicaIntermediário",Mercado_Receita!$L$2:$L$225)+SUMIF(Mercado_Receita!$S$2:$S$225,"44652B2ConvencionalRuralCooperativa de eletrificação ruralNão se aplicaNão se aplicaNão se aplica",Mercado_Receita!$L$2:$L$225)</f>
        <v>0</v>
      </c>
      <c r="Q34" s="13">
        <f>SUMIF(Mercado_Receita!$S$2:$S$225,"44682B2ConvencionalRuralCooperativa de eletrificação ruralNão se aplicaNão se aplicaPonta",Mercado_Receita!$L$2:$L$225)+SUMIF(Mercado_Receita!$S$2:$S$225,"44682B2ConvencionalRuralCooperativa de eletrificação ruralNão se aplicaNão se aplicaFora ponta",Mercado_Receita!$L$2:$L$225)+SUMIF(Mercado_Receita!$S$2:$S$225,"44682B2ConvencionalRuralCooperativa de eletrificação ruralNão se aplicaNão se aplicaIntermediário",Mercado_Receita!$L$2:$L$225)+SUMIF(Mercado_Receita!$S$2:$S$225,"44682B2ConvencionalRuralCooperativa de eletrificação ruralNão se aplicaNão se aplicaNão se aplica",Mercado_Receita!$L$2:$L$225)</f>
        <v>0</v>
      </c>
      <c r="R34" s="13">
        <f>SUMIF(Mercado_Receita!$S$2:$S$225,"44713B2ConvencionalRuralCooperativa de eletrificação ruralNão se aplicaNão se aplicaPonta",Mercado_Receita!$L$2:$L$225)+SUMIF(Mercado_Receita!$S$2:$S$225,"44713B2ConvencionalRuralCooperativa de eletrificação ruralNão se aplicaNão se aplicaFora ponta",Mercado_Receita!$L$2:$L$225)+SUMIF(Mercado_Receita!$S$2:$S$225,"44713B2ConvencionalRuralCooperativa de eletrificação ruralNão se aplicaNão se aplicaIntermediário",Mercado_Receita!$L$2:$L$225)+SUMIF(Mercado_Receita!$S$2:$S$225,"44713B2ConvencionalRuralCooperativa de eletrificação ruralNão se aplicaNão se aplicaNão se aplica",Mercado_Receita!$L$2:$L$225)</f>
        <v>0</v>
      </c>
      <c r="S34" s="13">
        <f>SUMIF(Mercado_Receita!$S$2:$S$225,"44743B2ConvencionalRuralCooperativa de eletrificação ruralNão se aplicaNão se aplicaPonta",Mercado_Receita!$L$2:$L$225)+SUMIF(Mercado_Receita!$S$2:$S$225,"44743B2ConvencionalRuralCooperativa de eletrificação ruralNão se aplicaNão se aplicaFora ponta",Mercado_Receita!$L$2:$L$225)+SUMIF(Mercado_Receita!$S$2:$S$225,"44743B2ConvencionalRuralCooperativa de eletrificação ruralNão se aplicaNão se aplicaIntermediário",Mercado_Receita!$L$2:$L$225)+SUMIF(Mercado_Receita!$S$2:$S$225,"44743B2ConvencionalRuralCooperativa de eletrificação ruralNão se aplicaNão se aplicaNão se aplica",Mercado_Receita!$L$2:$L$225)</f>
        <v>0</v>
      </c>
      <c r="T34" s="13">
        <f>SUMIF(Mercado_Receita!$S$2:$S$225,"44774B2ConvencionalRuralCooperativa de eletrificação ruralNão se aplicaNão se aplicaPonta",Mercado_Receita!$L$2:$L$225)+SUMIF(Mercado_Receita!$S$2:$S$225,"44774B2ConvencionalRuralCooperativa de eletrificação ruralNão se aplicaNão se aplicaFora ponta",Mercado_Receita!$L$2:$L$225)+SUMIF(Mercado_Receita!$S$2:$S$225,"44774B2ConvencionalRuralCooperativa de eletrificação ruralNão se aplicaNão se aplicaIntermediário",Mercado_Receita!$L$2:$L$225)+SUMIF(Mercado_Receita!$S$2:$S$225,"44774B2ConvencionalRuralCooperativa de eletrificação ruralNão se aplicaNão se aplicaNão se aplica",Mercado_Receita!$L$2:$L$225)</f>
        <v>0</v>
      </c>
      <c r="U34" s="13">
        <f t="shared" si="0"/>
        <v>0</v>
      </c>
      <c r="V34" s="13"/>
      <c r="W34" s="13"/>
    </row>
    <row r="35" spans="1:23" ht="11.25" customHeight="1" x14ac:dyDescent="0.3">
      <c r="A35" s="77"/>
      <c r="B35" s="76" t="s">
        <v>82</v>
      </c>
      <c r="C35" s="76" t="s">
        <v>40</v>
      </c>
      <c r="D35" s="76" t="s">
        <v>86</v>
      </c>
      <c r="E35" s="76" t="s">
        <v>25</v>
      </c>
      <c r="F35" s="76" t="s">
        <v>25</v>
      </c>
      <c r="G35" s="13" t="s">
        <v>69</v>
      </c>
      <c r="H35" s="13" t="s">
        <v>68</v>
      </c>
      <c r="I35" s="13">
        <f>SUMIF(Mercado_Receita!$S$2:$S$225,"44440B2BrancaRuralServiço público de irrigação ruralNão se aplicaNão se aplicaPonta",Mercado_Receita!$L$2:$L$225)</f>
        <v>0</v>
      </c>
      <c r="J35" s="13">
        <f>SUMIF(Mercado_Receita!$S$2:$S$225,"44470B2BrancaRuralServiço público de irrigação ruralNão se aplicaNão se aplicaPonta",Mercado_Receita!$L$2:$L$225)</f>
        <v>0</v>
      </c>
      <c r="K35" s="13">
        <f>SUMIF(Mercado_Receita!$S$2:$S$225,"44501B2BrancaRuralServiço público de irrigação ruralNão se aplicaNão se aplicaPonta",Mercado_Receita!$L$2:$L$225)</f>
        <v>0</v>
      </c>
      <c r="L35" s="13">
        <f>SUMIF(Mercado_Receita!$S$2:$S$225,"44531B2BrancaRuralServiço público de irrigação ruralNão se aplicaNão se aplicaPonta",Mercado_Receita!$L$2:$L$225)</f>
        <v>0</v>
      </c>
      <c r="M35" s="13">
        <f>SUMIF(Mercado_Receita!$S$2:$S$225,"44562B2BrancaRuralServiço público de irrigação ruralNão se aplicaNão se aplicaPonta",Mercado_Receita!$L$2:$L$225)</f>
        <v>0</v>
      </c>
      <c r="N35" s="13">
        <f>SUMIF(Mercado_Receita!$S$2:$S$225,"44593B2BrancaRuralServiço público de irrigação ruralNão se aplicaNão se aplicaPonta",Mercado_Receita!$L$2:$L$225)</f>
        <v>0</v>
      </c>
      <c r="O35" s="13">
        <f>SUMIF(Mercado_Receita!$S$2:$S$225,"44621B2BrancaRuralServiço público de irrigação ruralNão se aplicaNão se aplicaPonta",Mercado_Receita!$L$2:$L$225)</f>
        <v>0</v>
      </c>
      <c r="P35" s="13">
        <f>SUMIF(Mercado_Receita!$S$2:$S$225,"44652B2BrancaRuralServiço público de irrigação ruralNão se aplicaNão se aplicaPonta",Mercado_Receita!$L$2:$L$225)</f>
        <v>0</v>
      </c>
      <c r="Q35" s="13">
        <f>SUMIF(Mercado_Receita!$S$2:$S$225,"44682B2BrancaRuralServiço público de irrigação ruralNão se aplicaNão se aplicaPonta",Mercado_Receita!$L$2:$L$225)</f>
        <v>0</v>
      </c>
      <c r="R35" s="13">
        <f>SUMIF(Mercado_Receita!$S$2:$S$225,"44713B2BrancaRuralServiço público de irrigação ruralNão se aplicaNão se aplicaPonta",Mercado_Receita!$L$2:$L$225)</f>
        <v>0</v>
      </c>
      <c r="S35" s="13">
        <f>SUMIF(Mercado_Receita!$S$2:$S$225,"44743B2BrancaRuralServiço público de irrigação ruralNão se aplicaNão se aplicaPonta",Mercado_Receita!$L$2:$L$225)</f>
        <v>0</v>
      </c>
      <c r="T35" s="13">
        <f>SUMIF(Mercado_Receita!$S$2:$S$225,"44774B2BrancaRuralServiço público de irrigação ruralNão se aplicaNão se aplicaPonta",Mercado_Receita!$L$2:$L$225)</f>
        <v>0</v>
      </c>
      <c r="U35" s="13">
        <f t="shared" si="0"/>
        <v>0</v>
      </c>
      <c r="V35" s="13"/>
      <c r="W35" s="13"/>
    </row>
    <row r="36" spans="1:23" ht="11.25" customHeight="1" x14ac:dyDescent="0.3">
      <c r="A36" s="77"/>
      <c r="B36" s="77"/>
      <c r="C36" s="77"/>
      <c r="D36" s="77"/>
      <c r="E36" s="77"/>
      <c r="F36" s="77"/>
      <c r="G36" s="13" t="s">
        <v>80</v>
      </c>
      <c r="H36" s="13" t="s">
        <v>68</v>
      </c>
      <c r="I36" s="13">
        <f>SUMIF(Mercado_Receita!$S$2:$S$225,"44440B2BrancaRuralServiço público de irrigação ruralNão se aplicaNão se aplicaIntermediário",Mercado_Receita!$L$2:$L$225)</f>
        <v>0</v>
      </c>
      <c r="J36" s="13">
        <f>SUMIF(Mercado_Receita!$S$2:$S$225,"44470B2BrancaRuralServiço público de irrigação ruralNão se aplicaNão se aplicaIntermediário",Mercado_Receita!$L$2:$L$225)</f>
        <v>0</v>
      </c>
      <c r="K36" s="13">
        <f>SUMIF(Mercado_Receita!$S$2:$S$225,"44501B2BrancaRuralServiço público de irrigação ruralNão se aplicaNão se aplicaIntermediário",Mercado_Receita!$L$2:$L$225)</f>
        <v>0</v>
      </c>
      <c r="L36" s="13">
        <f>SUMIF(Mercado_Receita!$S$2:$S$225,"44531B2BrancaRuralServiço público de irrigação ruralNão se aplicaNão se aplicaIntermediário",Mercado_Receita!$L$2:$L$225)</f>
        <v>0</v>
      </c>
      <c r="M36" s="13">
        <f>SUMIF(Mercado_Receita!$S$2:$S$225,"44562B2BrancaRuralServiço público de irrigação ruralNão se aplicaNão se aplicaIntermediário",Mercado_Receita!$L$2:$L$225)</f>
        <v>0</v>
      </c>
      <c r="N36" s="13">
        <f>SUMIF(Mercado_Receita!$S$2:$S$225,"44593B2BrancaRuralServiço público de irrigação ruralNão se aplicaNão se aplicaIntermediário",Mercado_Receita!$L$2:$L$225)</f>
        <v>0</v>
      </c>
      <c r="O36" s="13">
        <f>SUMIF(Mercado_Receita!$S$2:$S$225,"44621B2BrancaRuralServiço público de irrigação ruralNão se aplicaNão se aplicaIntermediário",Mercado_Receita!$L$2:$L$225)</f>
        <v>0</v>
      </c>
      <c r="P36" s="13">
        <f>SUMIF(Mercado_Receita!$S$2:$S$225,"44652B2BrancaRuralServiço público de irrigação ruralNão se aplicaNão se aplicaIntermediário",Mercado_Receita!$L$2:$L$225)</f>
        <v>0</v>
      </c>
      <c r="Q36" s="13">
        <f>SUMIF(Mercado_Receita!$S$2:$S$225,"44682B2BrancaRuralServiço público de irrigação ruralNão se aplicaNão se aplicaIntermediário",Mercado_Receita!$L$2:$L$225)</f>
        <v>0</v>
      </c>
      <c r="R36" s="13">
        <f>SUMIF(Mercado_Receita!$S$2:$S$225,"44713B2BrancaRuralServiço público de irrigação ruralNão se aplicaNão se aplicaIntermediário",Mercado_Receita!$L$2:$L$225)</f>
        <v>0</v>
      </c>
      <c r="S36" s="13">
        <f>SUMIF(Mercado_Receita!$S$2:$S$225,"44743B2BrancaRuralServiço público de irrigação ruralNão se aplicaNão se aplicaIntermediário",Mercado_Receita!$L$2:$L$225)</f>
        <v>0</v>
      </c>
      <c r="T36" s="13">
        <f>SUMIF(Mercado_Receita!$S$2:$S$225,"44774B2BrancaRuralServiço público de irrigação ruralNão se aplicaNão se aplicaIntermediário",Mercado_Receita!$L$2:$L$225)</f>
        <v>0</v>
      </c>
      <c r="U36" s="13">
        <f t="shared" si="0"/>
        <v>0</v>
      </c>
      <c r="V36" s="13"/>
      <c r="W36" s="13"/>
    </row>
    <row r="37" spans="1:23" ht="11.25" customHeight="1" x14ac:dyDescent="0.3">
      <c r="A37" s="77"/>
      <c r="B37" s="77"/>
      <c r="C37" s="77"/>
      <c r="D37" s="77"/>
      <c r="E37" s="77"/>
      <c r="F37" s="77"/>
      <c r="G37" s="13" t="s">
        <v>70</v>
      </c>
      <c r="H37" s="13" t="s">
        <v>68</v>
      </c>
      <c r="I37" s="13">
        <f>SUMIF(Mercado_Receita!$S$2:$S$225,"44440B2BrancaRuralServiço público de irrigação ruralNão se aplicaNão se aplicaFora ponta",Mercado_Receita!$L$2:$L$225)</f>
        <v>0</v>
      </c>
      <c r="J37" s="13">
        <f>SUMIF(Mercado_Receita!$S$2:$S$225,"44470B2BrancaRuralServiço público de irrigação ruralNão se aplicaNão se aplicaFora ponta",Mercado_Receita!$L$2:$L$225)</f>
        <v>0</v>
      </c>
      <c r="K37" s="13">
        <f>SUMIF(Mercado_Receita!$S$2:$S$225,"44501B2BrancaRuralServiço público de irrigação ruralNão se aplicaNão se aplicaFora ponta",Mercado_Receita!$L$2:$L$225)</f>
        <v>0</v>
      </c>
      <c r="L37" s="13">
        <f>SUMIF(Mercado_Receita!$S$2:$S$225,"44531B2BrancaRuralServiço público de irrigação ruralNão se aplicaNão se aplicaFora ponta",Mercado_Receita!$L$2:$L$225)</f>
        <v>0</v>
      </c>
      <c r="M37" s="13">
        <f>SUMIF(Mercado_Receita!$S$2:$S$225,"44562B2BrancaRuralServiço público de irrigação ruralNão se aplicaNão se aplicaFora ponta",Mercado_Receita!$L$2:$L$225)</f>
        <v>0</v>
      </c>
      <c r="N37" s="13">
        <f>SUMIF(Mercado_Receita!$S$2:$S$225,"44593B2BrancaRuralServiço público de irrigação ruralNão se aplicaNão se aplicaFora ponta",Mercado_Receita!$L$2:$L$225)</f>
        <v>0</v>
      </c>
      <c r="O37" s="13">
        <f>SUMIF(Mercado_Receita!$S$2:$S$225,"44621B2BrancaRuralServiço público de irrigação ruralNão se aplicaNão se aplicaFora ponta",Mercado_Receita!$L$2:$L$225)</f>
        <v>0</v>
      </c>
      <c r="P37" s="13">
        <f>SUMIF(Mercado_Receita!$S$2:$S$225,"44652B2BrancaRuralServiço público de irrigação ruralNão se aplicaNão se aplicaFora ponta",Mercado_Receita!$L$2:$L$225)</f>
        <v>0</v>
      </c>
      <c r="Q37" s="13">
        <f>SUMIF(Mercado_Receita!$S$2:$S$225,"44682B2BrancaRuralServiço público de irrigação ruralNão se aplicaNão se aplicaFora ponta",Mercado_Receita!$L$2:$L$225)</f>
        <v>0</v>
      </c>
      <c r="R37" s="13">
        <f>SUMIF(Mercado_Receita!$S$2:$S$225,"44713B2BrancaRuralServiço público de irrigação ruralNão se aplicaNão se aplicaFora ponta",Mercado_Receita!$L$2:$L$225)</f>
        <v>0</v>
      </c>
      <c r="S37" s="13">
        <f>SUMIF(Mercado_Receita!$S$2:$S$225,"44743B2BrancaRuralServiço público de irrigação ruralNão se aplicaNão se aplicaFora ponta",Mercado_Receita!$L$2:$L$225)</f>
        <v>0</v>
      </c>
      <c r="T37" s="13">
        <f>SUMIF(Mercado_Receita!$S$2:$S$225,"44774B2BrancaRuralServiço público de irrigação ruralNão se aplicaNão se aplicaFora ponta",Mercado_Receita!$L$2:$L$225)</f>
        <v>0</v>
      </c>
      <c r="U37" s="13">
        <f t="shared" si="0"/>
        <v>0</v>
      </c>
      <c r="V37" s="13"/>
      <c r="W37" s="13"/>
    </row>
    <row r="38" spans="1:23" ht="11.25" customHeight="1" x14ac:dyDescent="0.3">
      <c r="A38" s="77"/>
      <c r="B38" s="12" t="s">
        <v>23</v>
      </c>
      <c r="C38" s="12" t="s">
        <v>40</v>
      </c>
      <c r="D38" s="12" t="s">
        <v>86</v>
      </c>
      <c r="E38" s="12" t="s">
        <v>25</v>
      </c>
      <c r="F38" s="12" t="s">
        <v>25</v>
      </c>
      <c r="G38" s="13" t="s">
        <v>74</v>
      </c>
      <c r="H38" s="13" t="s">
        <v>68</v>
      </c>
      <c r="I38" s="13">
        <f>SUMIF(Mercado_Receita!$S$2:$S$225,"44440B2ConvencionalRuralServiço público de irrigação ruralNão se aplicaNão se aplicaPonta",Mercado_Receita!$L$2:$L$225)+SUMIF(Mercado_Receita!$S$2:$S$225,"44440B2ConvencionalRuralServiço público de irrigação ruralNão se aplicaNão se aplicaFora ponta",Mercado_Receita!$L$2:$L$225)+SUMIF(Mercado_Receita!$S$2:$S$225,"44440B2ConvencionalRuralServiço público de irrigação ruralNão se aplicaNão se aplicaIntermediário",Mercado_Receita!$L$2:$L$225)+SUMIF(Mercado_Receita!$S$2:$S$225,"44440B2ConvencionalRuralServiço público de irrigação ruralNão se aplicaNão se aplicaNão se aplica",Mercado_Receita!$L$2:$L$225)</f>
        <v>0</v>
      </c>
      <c r="J38" s="13">
        <f>SUMIF(Mercado_Receita!$S$2:$S$225,"44470B2ConvencionalRuralServiço público de irrigação ruralNão se aplicaNão se aplicaPonta",Mercado_Receita!$L$2:$L$225)+SUMIF(Mercado_Receita!$S$2:$S$225,"44470B2ConvencionalRuralServiço público de irrigação ruralNão se aplicaNão se aplicaFora ponta",Mercado_Receita!$L$2:$L$225)+SUMIF(Mercado_Receita!$S$2:$S$225,"44470B2ConvencionalRuralServiço público de irrigação ruralNão se aplicaNão se aplicaIntermediário",Mercado_Receita!$L$2:$L$225)+SUMIF(Mercado_Receita!$S$2:$S$225,"44470B2ConvencionalRuralServiço público de irrigação ruralNão se aplicaNão se aplicaNão se aplica",Mercado_Receita!$L$2:$L$225)</f>
        <v>0</v>
      </c>
      <c r="K38" s="13">
        <f>SUMIF(Mercado_Receita!$S$2:$S$225,"44501B2ConvencionalRuralServiço público de irrigação ruralNão se aplicaNão se aplicaPonta",Mercado_Receita!$L$2:$L$225)+SUMIF(Mercado_Receita!$S$2:$S$225,"44501B2ConvencionalRuralServiço público de irrigação ruralNão se aplicaNão se aplicaFora ponta",Mercado_Receita!$L$2:$L$225)+SUMIF(Mercado_Receita!$S$2:$S$225,"44501B2ConvencionalRuralServiço público de irrigação ruralNão se aplicaNão se aplicaIntermediário",Mercado_Receita!$L$2:$L$225)+SUMIF(Mercado_Receita!$S$2:$S$225,"44501B2ConvencionalRuralServiço público de irrigação ruralNão se aplicaNão se aplicaNão se aplica",Mercado_Receita!$L$2:$L$225)</f>
        <v>0</v>
      </c>
      <c r="L38" s="13">
        <f>SUMIF(Mercado_Receita!$S$2:$S$225,"44531B2ConvencionalRuralServiço público de irrigação ruralNão se aplicaNão se aplicaPonta",Mercado_Receita!$L$2:$L$225)+SUMIF(Mercado_Receita!$S$2:$S$225,"44531B2ConvencionalRuralServiço público de irrigação ruralNão se aplicaNão se aplicaFora ponta",Mercado_Receita!$L$2:$L$225)+SUMIF(Mercado_Receita!$S$2:$S$225,"44531B2ConvencionalRuralServiço público de irrigação ruralNão se aplicaNão se aplicaIntermediário",Mercado_Receita!$L$2:$L$225)+SUMIF(Mercado_Receita!$S$2:$S$225,"44531B2ConvencionalRuralServiço público de irrigação ruralNão se aplicaNão se aplicaNão se aplica",Mercado_Receita!$L$2:$L$225)</f>
        <v>0</v>
      </c>
      <c r="M38" s="13">
        <f>SUMIF(Mercado_Receita!$S$2:$S$225,"44562B2ConvencionalRuralServiço público de irrigação ruralNão se aplicaNão se aplicaPonta",Mercado_Receita!$L$2:$L$225)+SUMIF(Mercado_Receita!$S$2:$S$225,"44562B2ConvencionalRuralServiço público de irrigação ruralNão se aplicaNão se aplicaFora ponta",Mercado_Receita!$L$2:$L$225)+SUMIF(Mercado_Receita!$S$2:$S$225,"44562B2ConvencionalRuralServiço público de irrigação ruralNão se aplicaNão se aplicaIntermediário",Mercado_Receita!$L$2:$L$225)+SUMIF(Mercado_Receita!$S$2:$S$225,"44562B2ConvencionalRuralServiço público de irrigação ruralNão se aplicaNão se aplicaNão se aplica",Mercado_Receita!$L$2:$L$225)</f>
        <v>0</v>
      </c>
      <c r="N38" s="13">
        <f>SUMIF(Mercado_Receita!$S$2:$S$225,"44593B2ConvencionalRuralServiço público de irrigação ruralNão se aplicaNão se aplicaPonta",Mercado_Receita!$L$2:$L$225)+SUMIF(Mercado_Receita!$S$2:$S$225,"44593B2ConvencionalRuralServiço público de irrigação ruralNão se aplicaNão se aplicaFora ponta",Mercado_Receita!$L$2:$L$225)+SUMIF(Mercado_Receita!$S$2:$S$225,"44593B2ConvencionalRuralServiço público de irrigação ruralNão se aplicaNão se aplicaIntermediário",Mercado_Receita!$L$2:$L$225)+SUMIF(Mercado_Receita!$S$2:$S$225,"44593B2ConvencionalRuralServiço público de irrigação ruralNão se aplicaNão se aplicaNão se aplica",Mercado_Receita!$L$2:$L$225)</f>
        <v>0</v>
      </c>
      <c r="O38" s="13">
        <f>SUMIF(Mercado_Receita!$S$2:$S$225,"44621B2ConvencionalRuralServiço público de irrigação ruralNão se aplicaNão se aplicaPonta",Mercado_Receita!$L$2:$L$225)+SUMIF(Mercado_Receita!$S$2:$S$225,"44621B2ConvencionalRuralServiço público de irrigação ruralNão se aplicaNão se aplicaFora ponta",Mercado_Receita!$L$2:$L$225)+SUMIF(Mercado_Receita!$S$2:$S$225,"44621B2ConvencionalRuralServiço público de irrigação ruralNão se aplicaNão se aplicaIntermediário",Mercado_Receita!$L$2:$L$225)+SUMIF(Mercado_Receita!$S$2:$S$225,"44621B2ConvencionalRuralServiço público de irrigação ruralNão se aplicaNão se aplicaNão se aplica",Mercado_Receita!$L$2:$L$225)</f>
        <v>0</v>
      </c>
      <c r="P38" s="13">
        <f>SUMIF(Mercado_Receita!$S$2:$S$225,"44652B2ConvencionalRuralServiço público de irrigação ruralNão se aplicaNão se aplicaPonta",Mercado_Receita!$L$2:$L$225)+SUMIF(Mercado_Receita!$S$2:$S$225,"44652B2ConvencionalRuralServiço público de irrigação ruralNão se aplicaNão se aplicaFora ponta",Mercado_Receita!$L$2:$L$225)+SUMIF(Mercado_Receita!$S$2:$S$225,"44652B2ConvencionalRuralServiço público de irrigação ruralNão se aplicaNão se aplicaIntermediário",Mercado_Receita!$L$2:$L$225)+SUMIF(Mercado_Receita!$S$2:$S$225,"44652B2ConvencionalRuralServiço público de irrigação ruralNão se aplicaNão se aplicaNão se aplica",Mercado_Receita!$L$2:$L$225)</f>
        <v>0</v>
      </c>
      <c r="Q38" s="13">
        <f>SUMIF(Mercado_Receita!$S$2:$S$225,"44682B2ConvencionalRuralServiço público de irrigação ruralNão se aplicaNão se aplicaPonta",Mercado_Receita!$L$2:$L$225)+SUMIF(Mercado_Receita!$S$2:$S$225,"44682B2ConvencionalRuralServiço público de irrigação ruralNão se aplicaNão se aplicaFora ponta",Mercado_Receita!$L$2:$L$225)+SUMIF(Mercado_Receita!$S$2:$S$225,"44682B2ConvencionalRuralServiço público de irrigação ruralNão se aplicaNão se aplicaIntermediário",Mercado_Receita!$L$2:$L$225)+SUMIF(Mercado_Receita!$S$2:$S$225,"44682B2ConvencionalRuralServiço público de irrigação ruralNão se aplicaNão se aplicaNão se aplica",Mercado_Receita!$L$2:$L$225)</f>
        <v>0</v>
      </c>
      <c r="R38" s="13">
        <f>SUMIF(Mercado_Receita!$S$2:$S$225,"44713B2ConvencionalRuralServiço público de irrigação ruralNão se aplicaNão se aplicaPonta",Mercado_Receita!$L$2:$L$225)+SUMIF(Mercado_Receita!$S$2:$S$225,"44713B2ConvencionalRuralServiço público de irrigação ruralNão se aplicaNão se aplicaFora ponta",Mercado_Receita!$L$2:$L$225)+SUMIF(Mercado_Receita!$S$2:$S$225,"44713B2ConvencionalRuralServiço público de irrigação ruralNão se aplicaNão se aplicaIntermediário",Mercado_Receita!$L$2:$L$225)+SUMIF(Mercado_Receita!$S$2:$S$225,"44713B2ConvencionalRuralServiço público de irrigação ruralNão se aplicaNão se aplicaNão se aplica",Mercado_Receita!$L$2:$L$225)</f>
        <v>0</v>
      </c>
      <c r="S38" s="13">
        <f>SUMIF(Mercado_Receita!$S$2:$S$225,"44743B2ConvencionalRuralServiço público de irrigação ruralNão se aplicaNão se aplicaPonta",Mercado_Receita!$L$2:$L$225)+SUMIF(Mercado_Receita!$S$2:$S$225,"44743B2ConvencionalRuralServiço público de irrigação ruralNão se aplicaNão se aplicaFora ponta",Mercado_Receita!$L$2:$L$225)+SUMIF(Mercado_Receita!$S$2:$S$225,"44743B2ConvencionalRuralServiço público de irrigação ruralNão se aplicaNão se aplicaIntermediário",Mercado_Receita!$L$2:$L$225)+SUMIF(Mercado_Receita!$S$2:$S$225,"44743B2ConvencionalRuralServiço público de irrigação ruralNão se aplicaNão se aplicaNão se aplica",Mercado_Receita!$L$2:$L$225)</f>
        <v>0</v>
      </c>
      <c r="T38" s="13">
        <f>SUMIF(Mercado_Receita!$S$2:$S$225,"44774B2ConvencionalRuralServiço público de irrigação ruralNão se aplicaNão se aplicaPonta",Mercado_Receita!$L$2:$L$225)+SUMIF(Mercado_Receita!$S$2:$S$225,"44774B2ConvencionalRuralServiço público de irrigação ruralNão se aplicaNão se aplicaFora ponta",Mercado_Receita!$L$2:$L$225)+SUMIF(Mercado_Receita!$S$2:$S$225,"44774B2ConvencionalRuralServiço público de irrigação ruralNão se aplicaNão se aplicaIntermediário",Mercado_Receita!$L$2:$L$225)+SUMIF(Mercado_Receita!$S$2:$S$225,"44774B2ConvencionalRuralServiço público de irrigação ruralNão se aplicaNão se aplicaNão se aplica",Mercado_Receita!$L$2:$L$225)</f>
        <v>0</v>
      </c>
      <c r="U38" s="13">
        <f t="shared" si="0"/>
        <v>0</v>
      </c>
      <c r="V38" s="13"/>
      <c r="W38" s="13"/>
    </row>
    <row r="39" spans="1:23" ht="11.25" customHeight="1" x14ac:dyDescent="0.3">
      <c r="A39" s="77"/>
      <c r="B39" s="76" t="s">
        <v>84</v>
      </c>
      <c r="C39" s="76" t="s">
        <v>40</v>
      </c>
      <c r="D39" s="12" t="s">
        <v>25</v>
      </c>
      <c r="E39" s="12" t="s">
        <v>25</v>
      </c>
      <c r="F39" s="12" t="s">
        <v>25</v>
      </c>
      <c r="G39" s="13" t="s">
        <v>74</v>
      </c>
      <c r="H39" s="13" t="s">
        <v>68</v>
      </c>
      <c r="I39" s="13">
        <f>SUMIF(Mercado_Receita!$S$2:$S$225,"44440B2Convencional pré-pagamentoRuralNão se aplicaNão se aplicaNão se aplicaPonta",Mercado_Receita!$L$2:$L$225)+SUMIF(Mercado_Receita!$S$2:$S$225,"44440B2Convencional pré-pagamentoRuralNão se aplicaNão se aplicaNão se aplicaFora ponta",Mercado_Receita!$L$2:$L$225)+SUMIF(Mercado_Receita!$S$2:$S$225,"44440B2Convencional pré-pagamentoRuralNão se aplicaNão se aplicaNão se aplicaIntermediário",Mercado_Receita!$L$2:$L$225)+SUMIF(Mercado_Receita!$S$2:$S$225,"44440B2Convencional pré-pagamentoRuralNão se aplicaNão se aplicaNão se aplicaNão se aplica",Mercado_Receita!$L$2:$L$225)</f>
        <v>0</v>
      </c>
      <c r="J39" s="13">
        <f>SUMIF(Mercado_Receita!$S$2:$S$225,"44470B2Convencional pré-pagamentoRuralNão se aplicaNão se aplicaNão se aplicaPonta",Mercado_Receita!$L$2:$L$225)+SUMIF(Mercado_Receita!$S$2:$S$225,"44470B2Convencional pré-pagamentoRuralNão se aplicaNão se aplicaNão se aplicaFora ponta",Mercado_Receita!$L$2:$L$225)+SUMIF(Mercado_Receita!$S$2:$S$225,"44470B2Convencional pré-pagamentoRuralNão se aplicaNão se aplicaNão se aplicaIntermediário",Mercado_Receita!$L$2:$L$225)+SUMIF(Mercado_Receita!$S$2:$S$225,"44470B2Convencional pré-pagamentoRuralNão se aplicaNão se aplicaNão se aplicaNão se aplica",Mercado_Receita!$L$2:$L$225)</f>
        <v>0</v>
      </c>
      <c r="K39" s="13">
        <f>SUMIF(Mercado_Receita!$S$2:$S$225,"44501B2Convencional pré-pagamentoRuralNão se aplicaNão se aplicaNão se aplicaPonta",Mercado_Receita!$L$2:$L$225)+SUMIF(Mercado_Receita!$S$2:$S$225,"44501B2Convencional pré-pagamentoRuralNão se aplicaNão se aplicaNão se aplicaFora ponta",Mercado_Receita!$L$2:$L$225)+SUMIF(Mercado_Receita!$S$2:$S$225,"44501B2Convencional pré-pagamentoRuralNão se aplicaNão se aplicaNão se aplicaIntermediário",Mercado_Receita!$L$2:$L$225)+SUMIF(Mercado_Receita!$S$2:$S$225,"44501B2Convencional pré-pagamentoRuralNão se aplicaNão se aplicaNão se aplicaNão se aplica",Mercado_Receita!$L$2:$L$225)</f>
        <v>0</v>
      </c>
      <c r="L39" s="13">
        <f>SUMIF(Mercado_Receita!$S$2:$S$225,"44531B2Convencional pré-pagamentoRuralNão se aplicaNão se aplicaNão se aplicaPonta",Mercado_Receita!$L$2:$L$225)+SUMIF(Mercado_Receita!$S$2:$S$225,"44531B2Convencional pré-pagamentoRuralNão se aplicaNão se aplicaNão se aplicaFora ponta",Mercado_Receita!$L$2:$L$225)+SUMIF(Mercado_Receita!$S$2:$S$225,"44531B2Convencional pré-pagamentoRuralNão se aplicaNão se aplicaNão se aplicaIntermediário",Mercado_Receita!$L$2:$L$225)+SUMIF(Mercado_Receita!$S$2:$S$225,"44531B2Convencional pré-pagamentoRuralNão se aplicaNão se aplicaNão se aplicaNão se aplica",Mercado_Receita!$L$2:$L$225)</f>
        <v>0</v>
      </c>
      <c r="M39" s="13">
        <f>SUMIF(Mercado_Receita!$S$2:$S$225,"44562B2Convencional pré-pagamentoRuralNão se aplicaNão se aplicaNão se aplicaPonta",Mercado_Receita!$L$2:$L$225)+SUMIF(Mercado_Receita!$S$2:$S$225,"44562B2Convencional pré-pagamentoRuralNão se aplicaNão se aplicaNão se aplicaFora ponta",Mercado_Receita!$L$2:$L$225)+SUMIF(Mercado_Receita!$S$2:$S$225,"44562B2Convencional pré-pagamentoRuralNão se aplicaNão se aplicaNão se aplicaIntermediário",Mercado_Receita!$L$2:$L$225)+SUMIF(Mercado_Receita!$S$2:$S$225,"44562B2Convencional pré-pagamentoRuralNão se aplicaNão se aplicaNão se aplicaNão se aplica",Mercado_Receita!$L$2:$L$225)</f>
        <v>0</v>
      </c>
      <c r="N39" s="13">
        <f>SUMIF(Mercado_Receita!$S$2:$S$225,"44593B2Convencional pré-pagamentoRuralNão se aplicaNão se aplicaNão se aplicaPonta",Mercado_Receita!$L$2:$L$225)+SUMIF(Mercado_Receita!$S$2:$S$225,"44593B2Convencional pré-pagamentoRuralNão se aplicaNão se aplicaNão se aplicaFora ponta",Mercado_Receita!$L$2:$L$225)+SUMIF(Mercado_Receita!$S$2:$S$225,"44593B2Convencional pré-pagamentoRuralNão se aplicaNão se aplicaNão se aplicaIntermediário",Mercado_Receita!$L$2:$L$225)+SUMIF(Mercado_Receita!$S$2:$S$225,"44593B2Convencional pré-pagamentoRuralNão se aplicaNão se aplicaNão se aplicaNão se aplica",Mercado_Receita!$L$2:$L$225)</f>
        <v>0</v>
      </c>
      <c r="O39" s="13">
        <f>SUMIF(Mercado_Receita!$S$2:$S$225,"44621B2Convencional pré-pagamentoRuralNão se aplicaNão se aplicaNão se aplicaPonta",Mercado_Receita!$L$2:$L$225)+SUMIF(Mercado_Receita!$S$2:$S$225,"44621B2Convencional pré-pagamentoRuralNão se aplicaNão se aplicaNão se aplicaFora ponta",Mercado_Receita!$L$2:$L$225)+SUMIF(Mercado_Receita!$S$2:$S$225,"44621B2Convencional pré-pagamentoRuralNão se aplicaNão se aplicaNão se aplicaIntermediário",Mercado_Receita!$L$2:$L$225)+SUMIF(Mercado_Receita!$S$2:$S$225,"44621B2Convencional pré-pagamentoRuralNão se aplicaNão se aplicaNão se aplicaNão se aplica",Mercado_Receita!$L$2:$L$225)</f>
        <v>0</v>
      </c>
      <c r="P39" s="13">
        <f>SUMIF(Mercado_Receita!$S$2:$S$225,"44652B2Convencional pré-pagamentoRuralNão se aplicaNão se aplicaNão se aplicaPonta",Mercado_Receita!$L$2:$L$225)+SUMIF(Mercado_Receita!$S$2:$S$225,"44652B2Convencional pré-pagamentoRuralNão se aplicaNão se aplicaNão se aplicaFora ponta",Mercado_Receita!$L$2:$L$225)+SUMIF(Mercado_Receita!$S$2:$S$225,"44652B2Convencional pré-pagamentoRuralNão se aplicaNão se aplicaNão se aplicaIntermediário",Mercado_Receita!$L$2:$L$225)+SUMIF(Mercado_Receita!$S$2:$S$225,"44652B2Convencional pré-pagamentoRuralNão se aplicaNão se aplicaNão se aplicaNão se aplica",Mercado_Receita!$L$2:$L$225)</f>
        <v>0</v>
      </c>
      <c r="Q39" s="13">
        <f>SUMIF(Mercado_Receita!$S$2:$S$225,"44682B2Convencional pré-pagamentoRuralNão se aplicaNão se aplicaNão se aplicaPonta",Mercado_Receita!$L$2:$L$225)+SUMIF(Mercado_Receita!$S$2:$S$225,"44682B2Convencional pré-pagamentoRuralNão se aplicaNão se aplicaNão se aplicaFora ponta",Mercado_Receita!$L$2:$L$225)+SUMIF(Mercado_Receita!$S$2:$S$225,"44682B2Convencional pré-pagamentoRuralNão se aplicaNão se aplicaNão se aplicaIntermediário",Mercado_Receita!$L$2:$L$225)+SUMIF(Mercado_Receita!$S$2:$S$225,"44682B2Convencional pré-pagamentoRuralNão se aplicaNão se aplicaNão se aplicaNão se aplica",Mercado_Receita!$L$2:$L$225)</f>
        <v>0</v>
      </c>
      <c r="R39" s="13">
        <f>SUMIF(Mercado_Receita!$S$2:$S$225,"44713B2Convencional pré-pagamentoRuralNão se aplicaNão se aplicaNão se aplicaPonta",Mercado_Receita!$L$2:$L$225)+SUMIF(Mercado_Receita!$S$2:$S$225,"44713B2Convencional pré-pagamentoRuralNão se aplicaNão se aplicaNão se aplicaFora ponta",Mercado_Receita!$L$2:$L$225)+SUMIF(Mercado_Receita!$S$2:$S$225,"44713B2Convencional pré-pagamentoRuralNão se aplicaNão se aplicaNão se aplicaIntermediário",Mercado_Receita!$L$2:$L$225)+SUMIF(Mercado_Receita!$S$2:$S$225,"44713B2Convencional pré-pagamentoRuralNão se aplicaNão se aplicaNão se aplicaNão se aplica",Mercado_Receita!$L$2:$L$225)</f>
        <v>0</v>
      </c>
      <c r="S39" s="13">
        <f>SUMIF(Mercado_Receita!$S$2:$S$225,"44743B2Convencional pré-pagamentoRuralNão se aplicaNão se aplicaNão se aplicaPonta",Mercado_Receita!$L$2:$L$225)+SUMIF(Mercado_Receita!$S$2:$S$225,"44743B2Convencional pré-pagamentoRuralNão se aplicaNão se aplicaNão se aplicaFora ponta",Mercado_Receita!$L$2:$L$225)+SUMIF(Mercado_Receita!$S$2:$S$225,"44743B2Convencional pré-pagamentoRuralNão se aplicaNão se aplicaNão se aplicaIntermediário",Mercado_Receita!$L$2:$L$225)+SUMIF(Mercado_Receita!$S$2:$S$225,"44743B2Convencional pré-pagamentoRuralNão se aplicaNão se aplicaNão se aplicaNão se aplica",Mercado_Receita!$L$2:$L$225)</f>
        <v>0</v>
      </c>
      <c r="T39" s="13">
        <f>SUMIF(Mercado_Receita!$S$2:$S$225,"44774B2Convencional pré-pagamentoRuralNão se aplicaNão se aplicaNão se aplicaPonta",Mercado_Receita!$L$2:$L$225)+SUMIF(Mercado_Receita!$S$2:$S$225,"44774B2Convencional pré-pagamentoRuralNão se aplicaNão se aplicaNão se aplicaFora ponta",Mercado_Receita!$L$2:$L$225)+SUMIF(Mercado_Receita!$S$2:$S$225,"44774B2Convencional pré-pagamentoRuralNão se aplicaNão se aplicaNão se aplicaIntermediário",Mercado_Receita!$L$2:$L$225)+SUMIF(Mercado_Receita!$S$2:$S$225,"44774B2Convencional pré-pagamentoRuralNão se aplicaNão se aplicaNão se aplicaNão se aplica",Mercado_Receita!$L$2:$L$225)</f>
        <v>0</v>
      </c>
      <c r="U39" s="13">
        <f t="shared" si="0"/>
        <v>0</v>
      </c>
      <c r="V39" s="13"/>
      <c r="W39" s="13"/>
    </row>
    <row r="40" spans="1:23" ht="11.25" customHeight="1" x14ac:dyDescent="0.3">
      <c r="A40" s="77"/>
      <c r="B40" s="77"/>
      <c r="C40" s="77"/>
      <c r="D40" s="12" t="s">
        <v>85</v>
      </c>
      <c r="E40" s="12" t="s">
        <v>25</v>
      </c>
      <c r="F40" s="12" t="s">
        <v>25</v>
      </c>
      <c r="G40" s="13" t="s">
        <v>74</v>
      </c>
      <c r="H40" s="13" t="s">
        <v>68</v>
      </c>
      <c r="I40" s="13">
        <f>SUMIF(Mercado_Receita!$S$2:$S$225,"44440B2Convencional pré-pagamentoRuralCooperativa de eletrificação ruralNão se aplicaNão se aplicaPonta",Mercado_Receita!$L$2:$L$225)+SUMIF(Mercado_Receita!$S$2:$S$225,"44440B2Convencional pré-pagamentoRuralCooperativa de eletrificação ruralNão se aplicaNão se aplicaFora ponta",Mercado_Receita!$L$2:$L$225)+SUMIF(Mercado_Receita!$S$2:$S$225,"44440B2Convencional pré-pagamentoRuralCooperativa de eletrificação ruralNão se aplicaNão se aplicaIntermediário",Mercado_Receita!$L$2:$L$225)+SUMIF(Mercado_Receita!$S$2:$S$225,"44440B2Convencional pré-pagamentoRuralCooperativa de eletrificação ruralNão se aplicaNão se aplicaNão se aplica",Mercado_Receita!$L$2:$L$225)</f>
        <v>0</v>
      </c>
      <c r="J40" s="13">
        <f>SUMIF(Mercado_Receita!$S$2:$S$225,"44470B2Convencional pré-pagamentoRuralCooperativa de eletrificação ruralNão se aplicaNão se aplicaPonta",Mercado_Receita!$L$2:$L$225)+SUMIF(Mercado_Receita!$S$2:$S$225,"44470B2Convencional pré-pagamentoRuralCooperativa de eletrificação ruralNão se aplicaNão se aplicaFora ponta",Mercado_Receita!$L$2:$L$225)+SUMIF(Mercado_Receita!$S$2:$S$225,"44470B2Convencional pré-pagamentoRuralCooperativa de eletrificação ruralNão se aplicaNão se aplicaIntermediário",Mercado_Receita!$L$2:$L$225)+SUMIF(Mercado_Receita!$S$2:$S$225,"44470B2Convencional pré-pagamentoRuralCooperativa de eletrificação ruralNão se aplicaNão se aplicaNão se aplica",Mercado_Receita!$L$2:$L$225)</f>
        <v>0</v>
      </c>
      <c r="K40" s="13">
        <f>SUMIF(Mercado_Receita!$S$2:$S$225,"44501B2Convencional pré-pagamentoRuralCooperativa de eletrificação ruralNão se aplicaNão se aplicaPonta",Mercado_Receita!$L$2:$L$225)+SUMIF(Mercado_Receita!$S$2:$S$225,"44501B2Convencional pré-pagamentoRuralCooperativa de eletrificação ruralNão se aplicaNão se aplicaFora ponta",Mercado_Receita!$L$2:$L$225)+SUMIF(Mercado_Receita!$S$2:$S$225,"44501B2Convencional pré-pagamentoRuralCooperativa de eletrificação ruralNão se aplicaNão se aplicaIntermediário",Mercado_Receita!$L$2:$L$225)+SUMIF(Mercado_Receita!$S$2:$S$225,"44501B2Convencional pré-pagamentoRuralCooperativa de eletrificação ruralNão se aplicaNão se aplicaNão se aplica",Mercado_Receita!$L$2:$L$225)</f>
        <v>0</v>
      </c>
      <c r="L40" s="13">
        <f>SUMIF(Mercado_Receita!$S$2:$S$225,"44531B2Convencional pré-pagamentoRuralCooperativa de eletrificação ruralNão se aplicaNão se aplicaPonta",Mercado_Receita!$L$2:$L$225)+SUMIF(Mercado_Receita!$S$2:$S$225,"44531B2Convencional pré-pagamentoRuralCooperativa de eletrificação ruralNão se aplicaNão se aplicaFora ponta",Mercado_Receita!$L$2:$L$225)+SUMIF(Mercado_Receita!$S$2:$S$225,"44531B2Convencional pré-pagamentoRuralCooperativa de eletrificação ruralNão se aplicaNão se aplicaIntermediário",Mercado_Receita!$L$2:$L$225)+SUMIF(Mercado_Receita!$S$2:$S$225,"44531B2Convencional pré-pagamentoRuralCooperativa de eletrificação ruralNão se aplicaNão se aplicaNão se aplica",Mercado_Receita!$L$2:$L$225)</f>
        <v>0</v>
      </c>
      <c r="M40" s="13">
        <f>SUMIF(Mercado_Receita!$S$2:$S$225,"44562B2Convencional pré-pagamentoRuralCooperativa de eletrificação ruralNão se aplicaNão se aplicaPonta",Mercado_Receita!$L$2:$L$225)+SUMIF(Mercado_Receita!$S$2:$S$225,"44562B2Convencional pré-pagamentoRuralCooperativa de eletrificação ruralNão se aplicaNão se aplicaFora ponta",Mercado_Receita!$L$2:$L$225)+SUMIF(Mercado_Receita!$S$2:$S$225,"44562B2Convencional pré-pagamentoRuralCooperativa de eletrificação ruralNão se aplicaNão se aplicaIntermediário",Mercado_Receita!$L$2:$L$225)+SUMIF(Mercado_Receita!$S$2:$S$225,"44562B2Convencional pré-pagamentoRuralCooperativa de eletrificação ruralNão se aplicaNão se aplicaNão se aplica",Mercado_Receita!$L$2:$L$225)</f>
        <v>0</v>
      </c>
      <c r="N40" s="13">
        <f>SUMIF(Mercado_Receita!$S$2:$S$225,"44593B2Convencional pré-pagamentoRuralCooperativa de eletrificação ruralNão se aplicaNão se aplicaPonta",Mercado_Receita!$L$2:$L$225)+SUMIF(Mercado_Receita!$S$2:$S$225,"44593B2Convencional pré-pagamentoRuralCooperativa de eletrificação ruralNão se aplicaNão se aplicaFora ponta",Mercado_Receita!$L$2:$L$225)+SUMIF(Mercado_Receita!$S$2:$S$225,"44593B2Convencional pré-pagamentoRuralCooperativa de eletrificação ruralNão se aplicaNão se aplicaIntermediário",Mercado_Receita!$L$2:$L$225)+SUMIF(Mercado_Receita!$S$2:$S$225,"44593B2Convencional pré-pagamentoRuralCooperativa de eletrificação ruralNão se aplicaNão se aplicaNão se aplica",Mercado_Receita!$L$2:$L$225)</f>
        <v>0</v>
      </c>
      <c r="O40" s="13">
        <f>SUMIF(Mercado_Receita!$S$2:$S$225,"44621B2Convencional pré-pagamentoRuralCooperativa de eletrificação ruralNão se aplicaNão se aplicaPonta",Mercado_Receita!$L$2:$L$225)+SUMIF(Mercado_Receita!$S$2:$S$225,"44621B2Convencional pré-pagamentoRuralCooperativa de eletrificação ruralNão se aplicaNão se aplicaFora ponta",Mercado_Receita!$L$2:$L$225)+SUMIF(Mercado_Receita!$S$2:$S$225,"44621B2Convencional pré-pagamentoRuralCooperativa de eletrificação ruralNão se aplicaNão se aplicaIntermediário",Mercado_Receita!$L$2:$L$225)+SUMIF(Mercado_Receita!$S$2:$S$225,"44621B2Convencional pré-pagamentoRuralCooperativa de eletrificação ruralNão se aplicaNão se aplicaNão se aplica",Mercado_Receita!$L$2:$L$225)</f>
        <v>0</v>
      </c>
      <c r="P40" s="13">
        <f>SUMIF(Mercado_Receita!$S$2:$S$225,"44652B2Convencional pré-pagamentoRuralCooperativa de eletrificação ruralNão se aplicaNão se aplicaPonta",Mercado_Receita!$L$2:$L$225)+SUMIF(Mercado_Receita!$S$2:$S$225,"44652B2Convencional pré-pagamentoRuralCooperativa de eletrificação ruralNão se aplicaNão se aplicaFora ponta",Mercado_Receita!$L$2:$L$225)+SUMIF(Mercado_Receita!$S$2:$S$225,"44652B2Convencional pré-pagamentoRuralCooperativa de eletrificação ruralNão se aplicaNão se aplicaIntermediário",Mercado_Receita!$L$2:$L$225)+SUMIF(Mercado_Receita!$S$2:$S$225,"44652B2Convencional pré-pagamentoRuralCooperativa de eletrificação ruralNão se aplicaNão se aplicaNão se aplica",Mercado_Receita!$L$2:$L$225)</f>
        <v>0</v>
      </c>
      <c r="Q40" s="13">
        <f>SUMIF(Mercado_Receita!$S$2:$S$225,"44682B2Convencional pré-pagamentoRuralCooperativa de eletrificação ruralNão se aplicaNão se aplicaPonta",Mercado_Receita!$L$2:$L$225)+SUMIF(Mercado_Receita!$S$2:$S$225,"44682B2Convencional pré-pagamentoRuralCooperativa de eletrificação ruralNão se aplicaNão se aplicaFora ponta",Mercado_Receita!$L$2:$L$225)+SUMIF(Mercado_Receita!$S$2:$S$225,"44682B2Convencional pré-pagamentoRuralCooperativa de eletrificação ruralNão se aplicaNão se aplicaIntermediário",Mercado_Receita!$L$2:$L$225)+SUMIF(Mercado_Receita!$S$2:$S$225,"44682B2Convencional pré-pagamentoRuralCooperativa de eletrificação ruralNão se aplicaNão se aplicaNão se aplica",Mercado_Receita!$L$2:$L$225)</f>
        <v>0</v>
      </c>
      <c r="R40" s="13">
        <f>SUMIF(Mercado_Receita!$S$2:$S$225,"44713B2Convencional pré-pagamentoRuralCooperativa de eletrificação ruralNão se aplicaNão se aplicaPonta",Mercado_Receita!$L$2:$L$225)+SUMIF(Mercado_Receita!$S$2:$S$225,"44713B2Convencional pré-pagamentoRuralCooperativa de eletrificação ruralNão se aplicaNão se aplicaFora ponta",Mercado_Receita!$L$2:$L$225)+SUMIF(Mercado_Receita!$S$2:$S$225,"44713B2Convencional pré-pagamentoRuralCooperativa de eletrificação ruralNão se aplicaNão se aplicaIntermediário",Mercado_Receita!$L$2:$L$225)+SUMIF(Mercado_Receita!$S$2:$S$225,"44713B2Convencional pré-pagamentoRuralCooperativa de eletrificação ruralNão se aplicaNão se aplicaNão se aplica",Mercado_Receita!$L$2:$L$225)</f>
        <v>0</v>
      </c>
      <c r="S40" s="13">
        <f>SUMIF(Mercado_Receita!$S$2:$S$225,"44743B2Convencional pré-pagamentoRuralCooperativa de eletrificação ruralNão se aplicaNão se aplicaPonta",Mercado_Receita!$L$2:$L$225)+SUMIF(Mercado_Receita!$S$2:$S$225,"44743B2Convencional pré-pagamentoRuralCooperativa de eletrificação ruralNão se aplicaNão se aplicaFora ponta",Mercado_Receita!$L$2:$L$225)+SUMIF(Mercado_Receita!$S$2:$S$225,"44743B2Convencional pré-pagamentoRuralCooperativa de eletrificação ruralNão se aplicaNão se aplicaIntermediário",Mercado_Receita!$L$2:$L$225)+SUMIF(Mercado_Receita!$S$2:$S$225,"44743B2Convencional pré-pagamentoRuralCooperativa de eletrificação ruralNão se aplicaNão se aplicaNão se aplica",Mercado_Receita!$L$2:$L$225)</f>
        <v>0</v>
      </c>
      <c r="T40" s="13">
        <f>SUMIF(Mercado_Receita!$S$2:$S$225,"44774B2Convencional pré-pagamentoRuralCooperativa de eletrificação ruralNão se aplicaNão se aplicaPonta",Mercado_Receita!$L$2:$L$225)+SUMIF(Mercado_Receita!$S$2:$S$225,"44774B2Convencional pré-pagamentoRuralCooperativa de eletrificação ruralNão se aplicaNão se aplicaFora ponta",Mercado_Receita!$L$2:$L$225)+SUMIF(Mercado_Receita!$S$2:$S$225,"44774B2Convencional pré-pagamentoRuralCooperativa de eletrificação ruralNão se aplicaNão se aplicaIntermediário",Mercado_Receita!$L$2:$L$225)+SUMIF(Mercado_Receita!$S$2:$S$225,"44774B2Convencional pré-pagamentoRuralCooperativa de eletrificação ruralNão se aplicaNão se aplicaNão se aplica",Mercado_Receita!$L$2:$L$225)</f>
        <v>0</v>
      </c>
      <c r="U40" s="13">
        <f t="shared" si="0"/>
        <v>0</v>
      </c>
      <c r="V40" s="13"/>
      <c r="W40" s="13"/>
    </row>
    <row r="41" spans="1:23" ht="11.25" customHeight="1" x14ac:dyDescent="0.3">
      <c r="A41" s="77"/>
      <c r="B41" s="77"/>
      <c r="C41" s="77"/>
      <c r="D41" s="12" t="s">
        <v>86</v>
      </c>
      <c r="E41" s="12" t="s">
        <v>25</v>
      </c>
      <c r="F41" s="12" t="s">
        <v>25</v>
      </c>
      <c r="G41" s="13" t="s">
        <v>74</v>
      </c>
      <c r="H41" s="13" t="s">
        <v>68</v>
      </c>
      <c r="I41" s="13">
        <f>SUMIF(Mercado_Receita!$S$2:$S$225,"44440B2Convencional pré-pagamentoRuralServiço público de irrigação ruralNão se aplicaNão se aplicaPonta",Mercado_Receita!$L$2:$L$225)+SUMIF(Mercado_Receita!$S$2:$S$225,"44440B2Convencional pré-pagamentoRuralServiço público de irrigação ruralNão se aplicaNão se aplicaFora ponta",Mercado_Receita!$L$2:$L$225)+SUMIF(Mercado_Receita!$S$2:$S$225,"44440B2Convencional pré-pagamentoRuralServiço público de irrigação ruralNão se aplicaNão se aplicaIntermediário",Mercado_Receita!$L$2:$L$225)+SUMIF(Mercado_Receita!$S$2:$S$225,"44440B2Convencional pré-pagamentoRuralServiço público de irrigação ruralNão se aplicaNão se aplicaNão se aplica",Mercado_Receita!$L$2:$L$225)</f>
        <v>0</v>
      </c>
      <c r="J41" s="13">
        <f>SUMIF(Mercado_Receita!$S$2:$S$225,"44470B2Convencional pré-pagamentoRuralServiço público de irrigação ruralNão se aplicaNão se aplicaPonta",Mercado_Receita!$L$2:$L$225)+SUMIF(Mercado_Receita!$S$2:$S$225,"44470B2Convencional pré-pagamentoRuralServiço público de irrigação ruralNão se aplicaNão se aplicaFora ponta",Mercado_Receita!$L$2:$L$225)+SUMIF(Mercado_Receita!$S$2:$S$225,"44470B2Convencional pré-pagamentoRuralServiço público de irrigação ruralNão se aplicaNão se aplicaIntermediário",Mercado_Receita!$L$2:$L$225)+SUMIF(Mercado_Receita!$S$2:$S$225,"44470B2Convencional pré-pagamentoRuralServiço público de irrigação ruralNão se aplicaNão se aplicaNão se aplica",Mercado_Receita!$L$2:$L$225)</f>
        <v>0</v>
      </c>
      <c r="K41" s="13">
        <f>SUMIF(Mercado_Receita!$S$2:$S$225,"44501B2Convencional pré-pagamentoRuralServiço público de irrigação ruralNão se aplicaNão se aplicaPonta",Mercado_Receita!$L$2:$L$225)+SUMIF(Mercado_Receita!$S$2:$S$225,"44501B2Convencional pré-pagamentoRuralServiço público de irrigação ruralNão se aplicaNão se aplicaFora ponta",Mercado_Receita!$L$2:$L$225)+SUMIF(Mercado_Receita!$S$2:$S$225,"44501B2Convencional pré-pagamentoRuralServiço público de irrigação ruralNão se aplicaNão se aplicaIntermediário",Mercado_Receita!$L$2:$L$225)+SUMIF(Mercado_Receita!$S$2:$S$225,"44501B2Convencional pré-pagamentoRuralServiço público de irrigação ruralNão se aplicaNão se aplicaNão se aplica",Mercado_Receita!$L$2:$L$225)</f>
        <v>0</v>
      </c>
      <c r="L41" s="13">
        <f>SUMIF(Mercado_Receita!$S$2:$S$225,"44531B2Convencional pré-pagamentoRuralServiço público de irrigação ruralNão se aplicaNão se aplicaPonta",Mercado_Receita!$L$2:$L$225)+SUMIF(Mercado_Receita!$S$2:$S$225,"44531B2Convencional pré-pagamentoRuralServiço público de irrigação ruralNão se aplicaNão se aplicaFora ponta",Mercado_Receita!$L$2:$L$225)+SUMIF(Mercado_Receita!$S$2:$S$225,"44531B2Convencional pré-pagamentoRuralServiço público de irrigação ruralNão se aplicaNão se aplicaIntermediário",Mercado_Receita!$L$2:$L$225)+SUMIF(Mercado_Receita!$S$2:$S$225,"44531B2Convencional pré-pagamentoRuralServiço público de irrigação ruralNão se aplicaNão se aplicaNão se aplica",Mercado_Receita!$L$2:$L$225)</f>
        <v>0</v>
      </c>
      <c r="M41" s="13">
        <f>SUMIF(Mercado_Receita!$S$2:$S$225,"44562B2Convencional pré-pagamentoRuralServiço público de irrigação ruralNão se aplicaNão se aplicaPonta",Mercado_Receita!$L$2:$L$225)+SUMIF(Mercado_Receita!$S$2:$S$225,"44562B2Convencional pré-pagamentoRuralServiço público de irrigação ruralNão se aplicaNão se aplicaFora ponta",Mercado_Receita!$L$2:$L$225)+SUMIF(Mercado_Receita!$S$2:$S$225,"44562B2Convencional pré-pagamentoRuralServiço público de irrigação ruralNão se aplicaNão se aplicaIntermediário",Mercado_Receita!$L$2:$L$225)+SUMIF(Mercado_Receita!$S$2:$S$225,"44562B2Convencional pré-pagamentoRuralServiço público de irrigação ruralNão se aplicaNão se aplicaNão se aplica",Mercado_Receita!$L$2:$L$225)</f>
        <v>0</v>
      </c>
      <c r="N41" s="13">
        <f>SUMIF(Mercado_Receita!$S$2:$S$225,"44593B2Convencional pré-pagamentoRuralServiço público de irrigação ruralNão se aplicaNão se aplicaPonta",Mercado_Receita!$L$2:$L$225)+SUMIF(Mercado_Receita!$S$2:$S$225,"44593B2Convencional pré-pagamentoRuralServiço público de irrigação ruralNão se aplicaNão se aplicaFora ponta",Mercado_Receita!$L$2:$L$225)+SUMIF(Mercado_Receita!$S$2:$S$225,"44593B2Convencional pré-pagamentoRuralServiço público de irrigação ruralNão se aplicaNão se aplicaIntermediário",Mercado_Receita!$L$2:$L$225)+SUMIF(Mercado_Receita!$S$2:$S$225,"44593B2Convencional pré-pagamentoRuralServiço público de irrigação ruralNão se aplicaNão se aplicaNão se aplica",Mercado_Receita!$L$2:$L$225)</f>
        <v>0</v>
      </c>
      <c r="O41" s="13">
        <f>SUMIF(Mercado_Receita!$S$2:$S$225,"44621B2Convencional pré-pagamentoRuralServiço público de irrigação ruralNão se aplicaNão se aplicaPonta",Mercado_Receita!$L$2:$L$225)+SUMIF(Mercado_Receita!$S$2:$S$225,"44621B2Convencional pré-pagamentoRuralServiço público de irrigação ruralNão se aplicaNão se aplicaFora ponta",Mercado_Receita!$L$2:$L$225)+SUMIF(Mercado_Receita!$S$2:$S$225,"44621B2Convencional pré-pagamentoRuralServiço público de irrigação ruralNão se aplicaNão se aplicaIntermediário",Mercado_Receita!$L$2:$L$225)+SUMIF(Mercado_Receita!$S$2:$S$225,"44621B2Convencional pré-pagamentoRuralServiço público de irrigação ruralNão se aplicaNão se aplicaNão se aplica",Mercado_Receita!$L$2:$L$225)</f>
        <v>0</v>
      </c>
      <c r="P41" s="13">
        <f>SUMIF(Mercado_Receita!$S$2:$S$225,"44652B2Convencional pré-pagamentoRuralServiço público de irrigação ruralNão se aplicaNão se aplicaPonta",Mercado_Receita!$L$2:$L$225)+SUMIF(Mercado_Receita!$S$2:$S$225,"44652B2Convencional pré-pagamentoRuralServiço público de irrigação ruralNão se aplicaNão se aplicaFora ponta",Mercado_Receita!$L$2:$L$225)+SUMIF(Mercado_Receita!$S$2:$S$225,"44652B2Convencional pré-pagamentoRuralServiço público de irrigação ruralNão se aplicaNão se aplicaIntermediário",Mercado_Receita!$L$2:$L$225)+SUMIF(Mercado_Receita!$S$2:$S$225,"44652B2Convencional pré-pagamentoRuralServiço público de irrigação ruralNão se aplicaNão se aplicaNão se aplica",Mercado_Receita!$L$2:$L$225)</f>
        <v>0</v>
      </c>
      <c r="Q41" s="13">
        <f>SUMIF(Mercado_Receita!$S$2:$S$225,"44682B2Convencional pré-pagamentoRuralServiço público de irrigação ruralNão se aplicaNão se aplicaPonta",Mercado_Receita!$L$2:$L$225)+SUMIF(Mercado_Receita!$S$2:$S$225,"44682B2Convencional pré-pagamentoRuralServiço público de irrigação ruralNão se aplicaNão se aplicaFora ponta",Mercado_Receita!$L$2:$L$225)+SUMIF(Mercado_Receita!$S$2:$S$225,"44682B2Convencional pré-pagamentoRuralServiço público de irrigação ruralNão se aplicaNão se aplicaIntermediário",Mercado_Receita!$L$2:$L$225)+SUMIF(Mercado_Receita!$S$2:$S$225,"44682B2Convencional pré-pagamentoRuralServiço público de irrigação ruralNão se aplicaNão se aplicaNão se aplica",Mercado_Receita!$L$2:$L$225)</f>
        <v>0</v>
      </c>
      <c r="R41" s="13">
        <f>SUMIF(Mercado_Receita!$S$2:$S$225,"44713B2Convencional pré-pagamentoRuralServiço público de irrigação ruralNão se aplicaNão se aplicaPonta",Mercado_Receita!$L$2:$L$225)+SUMIF(Mercado_Receita!$S$2:$S$225,"44713B2Convencional pré-pagamentoRuralServiço público de irrigação ruralNão se aplicaNão se aplicaFora ponta",Mercado_Receita!$L$2:$L$225)+SUMIF(Mercado_Receita!$S$2:$S$225,"44713B2Convencional pré-pagamentoRuralServiço público de irrigação ruralNão se aplicaNão se aplicaIntermediário",Mercado_Receita!$L$2:$L$225)+SUMIF(Mercado_Receita!$S$2:$S$225,"44713B2Convencional pré-pagamentoRuralServiço público de irrigação ruralNão se aplicaNão se aplicaNão se aplica",Mercado_Receita!$L$2:$L$225)</f>
        <v>0</v>
      </c>
      <c r="S41" s="13">
        <f>SUMIF(Mercado_Receita!$S$2:$S$225,"44743B2Convencional pré-pagamentoRuralServiço público de irrigação ruralNão se aplicaNão se aplicaPonta",Mercado_Receita!$L$2:$L$225)+SUMIF(Mercado_Receita!$S$2:$S$225,"44743B2Convencional pré-pagamentoRuralServiço público de irrigação ruralNão se aplicaNão se aplicaFora ponta",Mercado_Receita!$L$2:$L$225)+SUMIF(Mercado_Receita!$S$2:$S$225,"44743B2Convencional pré-pagamentoRuralServiço público de irrigação ruralNão se aplicaNão se aplicaIntermediário",Mercado_Receita!$L$2:$L$225)+SUMIF(Mercado_Receita!$S$2:$S$225,"44743B2Convencional pré-pagamentoRuralServiço público de irrigação ruralNão se aplicaNão se aplicaNão se aplica",Mercado_Receita!$L$2:$L$225)</f>
        <v>0</v>
      </c>
      <c r="T41" s="13">
        <f>SUMIF(Mercado_Receita!$S$2:$S$225,"44774B2Convencional pré-pagamentoRuralServiço público de irrigação ruralNão se aplicaNão se aplicaPonta",Mercado_Receita!$L$2:$L$225)+SUMIF(Mercado_Receita!$S$2:$S$225,"44774B2Convencional pré-pagamentoRuralServiço público de irrigação ruralNão se aplicaNão se aplicaFora ponta",Mercado_Receita!$L$2:$L$225)+SUMIF(Mercado_Receita!$S$2:$S$225,"44774B2Convencional pré-pagamentoRuralServiço público de irrigação ruralNão se aplicaNão se aplicaIntermediário",Mercado_Receita!$L$2:$L$225)+SUMIF(Mercado_Receita!$S$2:$S$225,"44774B2Convencional pré-pagamentoRuralServiço público de irrigação ruralNão se aplicaNão se aplicaNão se aplica",Mercado_Receita!$L$2:$L$225)</f>
        <v>0</v>
      </c>
      <c r="U41" s="13">
        <f t="shared" si="0"/>
        <v>0</v>
      </c>
      <c r="V41" s="13"/>
      <c r="W41" s="13"/>
    </row>
    <row r="42" spans="1:23" ht="11.25" customHeight="1" x14ac:dyDescent="0.3">
      <c r="A42" s="76" t="s">
        <v>31</v>
      </c>
      <c r="B42" s="76" t="s">
        <v>82</v>
      </c>
      <c r="C42" s="76" t="s">
        <v>25</v>
      </c>
      <c r="D42" s="76" t="s">
        <v>25</v>
      </c>
      <c r="E42" s="76" t="s">
        <v>25</v>
      </c>
      <c r="F42" s="76" t="s">
        <v>25</v>
      </c>
      <c r="G42" s="13" t="s">
        <v>69</v>
      </c>
      <c r="H42" s="13" t="s">
        <v>68</v>
      </c>
      <c r="I42" s="13">
        <f>SUMIF(Mercado_Receita!$S$2:$S$225,"44440B3BrancaNão se aplicaNão se aplicaNão se aplicaNão se aplicaPonta",Mercado_Receita!$L$2:$L$225)</f>
        <v>0</v>
      </c>
      <c r="J42" s="13">
        <f>SUMIF(Mercado_Receita!$S$2:$S$225,"44470B3BrancaNão se aplicaNão se aplicaNão se aplicaNão se aplicaPonta",Mercado_Receita!$L$2:$L$225)</f>
        <v>0</v>
      </c>
      <c r="K42" s="13">
        <f>SUMIF(Mercado_Receita!$S$2:$S$225,"44501B3BrancaNão se aplicaNão se aplicaNão se aplicaNão se aplicaPonta",Mercado_Receita!$L$2:$L$225)</f>
        <v>0</v>
      </c>
      <c r="L42" s="13">
        <f>SUMIF(Mercado_Receita!$S$2:$S$225,"44531B3BrancaNão se aplicaNão se aplicaNão se aplicaNão se aplicaPonta",Mercado_Receita!$L$2:$L$225)</f>
        <v>0</v>
      </c>
      <c r="M42" s="13">
        <f>SUMIF(Mercado_Receita!$S$2:$S$225,"44562B3BrancaNão se aplicaNão se aplicaNão se aplicaNão se aplicaPonta",Mercado_Receita!$L$2:$L$225)</f>
        <v>0</v>
      </c>
      <c r="N42" s="13">
        <f>SUMIF(Mercado_Receita!$S$2:$S$225,"44593B3BrancaNão se aplicaNão se aplicaNão se aplicaNão se aplicaPonta",Mercado_Receita!$L$2:$L$225)</f>
        <v>0</v>
      </c>
      <c r="O42" s="13">
        <f>SUMIF(Mercado_Receita!$S$2:$S$225,"44621B3BrancaNão se aplicaNão se aplicaNão se aplicaNão se aplicaPonta",Mercado_Receita!$L$2:$L$225)</f>
        <v>0</v>
      </c>
      <c r="P42" s="13">
        <f>SUMIF(Mercado_Receita!$S$2:$S$225,"44652B3BrancaNão se aplicaNão se aplicaNão se aplicaNão se aplicaPonta",Mercado_Receita!$L$2:$L$225)</f>
        <v>0</v>
      </c>
      <c r="Q42" s="13">
        <f>SUMIF(Mercado_Receita!$S$2:$S$225,"44682B3BrancaNão se aplicaNão se aplicaNão se aplicaNão se aplicaPonta",Mercado_Receita!$L$2:$L$225)</f>
        <v>0</v>
      </c>
      <c r="R42" s="13">
        <f>SUMIF(Mercado_Receita!$S$2:$S$225,"44713B3BrancaNão se aplicaNão se aplicaNão se aplicaNão se aplicaPonta",Mercado_Receita!$L$2:$L$225)</f>
        <v>0</v>
      </c>
      <c r="S42" s="13">
        <f>SUMIF(Mercado_Receita!$S$2:$S$225,"44743B3BrancaNão se aplicaNão se aplicaNão se aplicaNão se aplicaPonta",Mercado_Receita!$L$2:$L$225)</f>
        <v>0</v>
      </c>
      <c r="T42" s="13">
        <f>SUMIF(Mercado_Receita!$S$2:$S$225,"44774B3BrancaNão se aplicaNão se aplicaNão se aplicaNão se aplicaPonta",Mercado_Receita!$L$2:$L$225)</f>
        <v>0</v>
      </c>
      <c r="U42" s="13">
        <f t="shared" si="0"/>
        <v>0</v>
      </c>
      <c r="V42" s="13"/>
      <c r="W42" s="13"/>
    </row>
    <row r="43" spans="1:23" ht="11.25" customHeight="1" x14ac:dyDescent="0.3">
      <c r="A43" s="77"/>
      <c r="B43" s="77"/>
      <c r="C43" s="77"/>
      <c r="D43" s="77"/>
      <c r="E43" s="77"/>
      <c r="F43" s="77"/>
      <c r="G43" s="13" t="s">
        <v>80</v>
      </c>
      <c r="H43" s="13" t="s">
        <v>68</v>
      </c>
      <c r="I43" s="13">
        <f>SUMIF(Mercado_Receita!$S$2:$S$225,"44440B3BrancaNão se aplicaNão se aplicaNão se aplicaNão se aplicaIntermediário",Mercado_Receita!$L$2:$L$225)</f>
        <v>0</v>
      </c>
      <c r="J43" s="13">
        <f>SUMIF(Mercado_Receita!$S$2:$S$225,"44470B3BrancaNão se aplicaNão se aplicaNão se aplicaNão se aplicaIntermediário",Mercado_Receita!$L$2:$L$225)</f>
        <v>0</v>
      </c>
      <c r="K43" s="13">
        <f>SUMIF(Mercado_Receita!$S$2:$S$225,"44501B3BrancaNão se aplicaNão se aplicaNão se aplicaNão se aplicaIntermediário",Mercado_Receita!$L$2:$L$225)</f>
        <v>0</v>
      </c>
      <c r="L43" s="13">
        <f>SUMIF(Mercado_Receita!$S$2:$S$225,"44531B3BrancaNão se aplicaNão se aplicaNão se aplicaNão se aplicaIntermediário",Mercado_Receita!$L$2:$L$225)</f>
        <v>0</v>
      </c>
      <c r="M43" s="13">
        <f>SUMIF(Mercado_Receita!$S$2:$S$225,"44562B3BrancaNão se aplicaNão se aplicaNão se aplicaNão se aplicaIntermediário",Mercado_Receita!$L$2:$L$225)</f>
        <v>0</v>
      </c>
      <c r="N43" s="13">
        <f>SUMIF(Mercado_Receita!$S$2:$S$225,"44593B3BrancaNão se aplicaNão se aplicaNão se aplicaNão se aplicaIntermediário",Mercado_Receita!$L$2:$L$225)</f>
        <v>0</v>
      </c>
      <c r="O43" s="13">
        <f>SUMIF(Mercado_Receita!$S$2:$S$225,"44621B3BrancaNão se aplicaNão se aplicaNão se aplicaNão se aplicaIntermediário",Mercado_Receita!$L$2:$L$225)</f>
        <v>0</v>
      </c>
      <c r="P43" s="13">
        <f>SUMIF(Mercado_Receita!$S$2:$S$225,"44652B3BrancaNão se aplicaNão se aplicaNão se aplicaNão se aplicaIntermediário",Mercado_Receita!$L$2:$L$225)</f>
        <v>0</v>
      </c>
      <c r="Q43" s="13">
        <f>SUMIF(Mercado_Receita!$S$2:$S$225,"44682B3BrancaNão se aplicaNão se aplicaNão se aplicaNão se aplicaIntermediário",Mercado_Receita!$L$2:$L$225)</f>
        <v>0</v>
      </c>
      <c r="R43" s="13">
        <f>SUMIF(Mercado_Receita!$S$2:$S$225,"44713B3BrancaNão se aplicaNão se aplicaNão se aplicaNão se aplicaIntermediário",Mercado_Receita!$L$2:$L$225)</f>
        <v>0</v>
      </c>
      <c r="S43" s="13">
        <f>SUMIF(Mercado_Receita!$S$2:$S$225,"44743B3BrancaNão se aplicaNão se aplicaNão se aplicaNão se aplicaIntermediário",Mercado_Receita!$L$2:$L$225)</f>
        <v>0</v>
      </c>
      <c r="T43" s="13">
        <f>SUMIF(Mercado_Receita!$S$2:$S$225,"44774B3BrancaNão se aplicaNão se aplicaNão se aplicaNão se aplicaIntermediário",Mercado_Receita!$L$2:$L$225)</f>
        <v>0</v>
      </c>
      <c r="U43" s="13">
        <f t="shared" si="0"/>
        <v>0</v>
      </c>
      <c r="V43" s="13"/>
      <c r="W43" s="13"/>
    </row>
    <row r="44" spans="1:23" ht="11.25" customHeight="1" x14ac:dyDescent="0.3">
      <c r="A44" s="77"/>
      <c r="B44" s="77"/>
      <c r="C44" s="77"/>
      <c r="D44" s="77"/>
      <c r="E44" s="77"/>
      <c r="F44" s="77"/>
      <c r="G44" s="13" t="s">
        <v>70</v>
      </c>
      <c r="H44" s="13" t="s">
        <v>68</v>
      </c>
      <c r="I44" s="13">
        <f>SUMIF(Mercado_Receita!$S$2:$S$225,"44440B3BrancaNão se aplicaNão se aplicaNão se aplicaNão se aplicaFora ponta",Mercado_Receita!$L$2:$L$225)</f>
        <v>0</v>
      </c>
      <c r="J44" s="13">
        <f>SUMIF(Mercado_Receita!$S$2:$S$225,"44470B3BrancaNão se aplicaNão se aplicaNão se aplicaNão se aplicaFora ponta",Mercado_Receita!$L$2:$L$225)</f>
        <v>0</v>
      </c>
      <c r="K44" s="13">
        <f>SUMIF(Mercado_Receita!$S$2:$S$225,"44501B3BrancaNão se aplicaNão se aplicaNão se aplicaNão se aplicaFora ponta",Mercado_Receita!$L$2:$L$225)</f>
        <v>0</v>
      </c>
      <c r="L44" s="13">
        <f>SUMIF(Mercado_Receita!$S$2:$S$225,"44531B3BrancaNão se aplicaNão se aplicaNão se aplicaNão se aplicaFora ponta",Mercado_Receita!$L$2:$L$225)</f>
        <v>0</v>
      </c>
      <c r="M44" s="13">
        <f>SUMIF(Mercado_Receita!$S$2:$S$225,"44562B3BrancaNão se aplicaNão se aplicaNão se aplicaNão se aplicaFora ponta",Mercado_Receita!$L$2:$L$225)</f>
        <v>0</v>
      </c>
      <c r="N44" s="13">
        <f>SUMIF(Mercado_Receita!$S$2:$S$225,"44593B3BrancaNão se aplicaNão se aplicaNão se aplicaNão se aplicaFora ponta",Mercado_Receita!$L$2:$L$225)</f>
        <v>0</v>
      </c>
      <c r="O44" s="13">
        <f>SUMIF(Mercado_Receita!$S$2:$S$225,"44621B3BrancaNão se aplicaNão se aplicaNão se aplicaNão se aplicaFora ponta",Mercado_Receita!$L$2:$L$225)</f>
        <v>0</v>
      </c>
      <c r="P44" s="13">
        <f>SUMIF(Mercado_Receita!$S$2:$S$225,"44652B3BrancaNão se aplicaNão se aplicaNão se aplicaNão se aplicaFora ponta",Mercado_Receita!$L$2:$L$225)</f>
        <v>0</v>
      </c>
      <c r="Q44" s="13">
        <f>SUMIF(Mercado_Receita!$S$2:$S$225,"44682B3BrancaNão se aplicaNão se aplicaNão se aplicaNão se aplicaFora ponta",Mercado_Receita!$L$2:$L$225)</f>
        <v>0</v>
      </c>
      <c r="R44" s="13">
        <f>SUMIF(Mercado_Receita!$S$2:$S$225,"44713B3BrancaNão se aplicaNão se aplicaNão se aplicaNão se aplicaFora ponta",Mercado_Receita!$L$2:$L$225)</f>
        <v>0</v>
      </c>
      <c r="S44" s="13">
        <f>SUMIF(Mercado_Receita!$S$2:$S$225,"44743B3BrancaNão se aplicaNão se aplicaNão se aplicaNão se aplicaFora ponta",Mercado_Receita!$L$2:$L$225)</f>
        <v>0</v>
      </c>
      <c r="T44" s="13">
        <f>SUMIF(Mercado_Receita!$S$2:$S$225,"44774B3BrancaNão se aplicaNão se aplicaNão se aplicaNão se aplicaFora ponta",Mercado_Receita!$L$2:$L$225)</f>
        <v>0</v>
      </c>
      <c r="U44" s="13">
        <f t="shared" si="0"/>
        <v>0</v>
      </c>
      <c r="V44" s="13"/>
      <c r="W44" s="13"/>
    </row>
    <row r="45" spans="1:23" ht="11.25" customHeight="1" x14ac:dyDescent="0.3">
      <c r="A45" s="77"/>
      <c r="B45" s="12" t="s">
        <v>23</v>
      </c>
      <c r="C45" s="12" t="s">
        <v>25</v>
      </c>
      <c r="D45" s="12" t="s">
        <v>25</v>
      </c>
      <c r="E45" s="12" t="s">
        <v>25</v>
      </c>
      <c r="F45" s="12" t="s">
        <v>25</v>
      </c>
      <c r="G45" s="13" t="s">
        <v>74</v>
      </c>
      <c r="H45" s="13" t="s">
        <v>68</v>
      </c>
      <c r="I45" s="13">
        <f>SUMIF(Mercado_Receita!$S$2:$S$225,"44440B3ConvencionalNão se aplicaNão se aplicaNão se aplicaNão se aplicaPonta",Mercado_Receita!$L$2:$L$225)+SUMIF(Mercado_Receita!$S$2:$S$225,"44440B3ConvencionalNão se aplicaNão se aplicaNão se aplicaNão se aplicaFora ponta",Mercado_Receita!$L$2:$L$225)+SUMIF(Mercado_Receita!$S$2:$S$225,"44440B3ConvencionalNão se aplicaNão se aplicaNão se aplicaNão se aplicaIntermediário",Mercado_Receita!$L$2:$L$225)+SUMIF(Mercado_Receita!$S$2:$S$225,"44440B3ConvencionalNão se aplicaNão se aplicaNão se aplicaNão se aplicaNão se aplica",Mercado_Receita!$L$2:$L$225)</f>
        <v>20.204999999999998</v>
      </c>
      <c r="J45" s="13">
        <f>SUMIF(Mercado_Receita!$S$2:$S$225,"44470B3ConvencionalNão se aplicaNão se aplicaNão se aplicaNão se aplicaPonta",Mercado_Receita!$L$2:$L$225)+SUMIF(Mercado_Receita!$S$2:$S$225,"44470B3ConvencionalNão se aplicaNão se aplicaNão se aplicaNão se aplicaFora ponta",Mercado_Receita!$L$2:$L$225)+SUMIF(Mercado_Receita!$S$2:$S$225,"44470B3ConvencionalNão se aplicaNão se aplicaNão se aplicaNão se aplicaIntermediário",Mercado_Receita!$L$2:$L$225)+SUMIF(Mercado_Receita!$S$2:$S$225,"44470B3ConvencionalNão se aplicaNão se aplicaNão se aplicaNão se aplicaNão se aplica",Mercado_Receita!$L$2:$L$225)</f>
        <v>19.59</v>
      </c>
      <c r="K45" s="13">
        <f>SUMIF(Mercado_Receita!$S$2:$S$225,"44501B3ConvencionalNão se aplicaNão se aplicaNão se aplicaNão se aplicaPonta",Mercado_Receita!$L$2:$L$225)+SUMIF(Mercado_Receita!$S$2:$S$225,"44501B3ConvencionalNão se aplicaNão se aplicaNão se aplicaNão se aplicaFora ponta",Mercado_Receita!$L$2:$L$225)+SUMIF(Mercado_Receita!$S$2:$S$225,"44501B3ConvencionalNão se aplicaNão se aplicaNão se aplicaNão se aplicaIntermediário",Mercado_Receita!$L$2:$L$225)+SUMIF(Mercado_Receita!$S$2:$S$225,"44501B3ConvencionalNão se aplicaNão se aplicaNão se aplicaNão se aplicaNão se aplica",Mercado_Receita!$L$2:$L$225)</f>
        <v>31.866000000000003</v>
      </c>
      <c r="L45" s="13">
        <f>SUMIF(Mercado_Receita!$S$2:$S$225,"44531B3ConvencionalNão se aplicaNão se aplicaNão se aplicaNão se aplicaPonta",Mercado_Receita!$L$2:$L$225)+SUMIF(Mercado_Receita!$S$2:$S$225,"44531B3ConvencionalNão se aplicaNão se aplicaNão se aplicaNão se aplicaFora ponta",Mercado_Receita!$L$2:$L$225)+SUMIF(Mercado_Receita!$S$2:$S$225,"44531B3ConvencionalNão se aplicaNão se aplicaNão se aplicaNão se aplicaIntermediário",Mercado_Receita!$L$2:$L$225)+SUMIF(Mercado_Receita!$S$2:$S$225,"44531B3ConvencionalNão se aplicaNão se aplicaNão se aplicaNão se aplicaNão se aplica",Mercado_Receita!$L$2:$L$225)</f>
        <v>32.158000000000001</v>
      </c>
      <c r="M45" s="13">
        <f>SUMIF(Mercado_Receita!$S$2:$S$225,"44562B3ConvencionalNão se aplicaNão se aplicaNão se aplicaNão se aplicaPonta",Mercado_Receita!$L$2:$L$225)+SUMIF(Mercado_Receita!$S$2:$S$225,"44562B3ConvencionalNão se aplicaNão se aplicaNão se aplicaNão se aplicaFora ponta",Mercado_Receita!$L$2:$L$225)+SUMIF(Mercado_Receita!$S$2:$S$225,"44562B3ConvencionalNão se aplicaNão se aplicaNão se aplicaNão se aplicaIntermediário",Mercado_Receita!$L$2:$L$225)+SUMIF(Mercado_Receita!$S$2:$S$225,"44562B3ConvencionalNão se aplicaNão se aplicaNão se aplicaNão se aplicaNão se aplica",Mercado_Receita!$L$2:$L$225)</f>
        <v>35.600999999999999</v>
      </c>
      <c r="N45" s="13">
        <f>SUMIF(Mercado_Receita!$S$2:$S$225,"44593B3ConvencionalNão se aplicaNão se aplicaNão se aplicaNão se aplicaPonta",Mercado_Receita!$L$2:$L$225)+SUMIF(Mercado_Receita!$S$2:$S$225,"44593B3ConvencionalNão se aplicaNão se aplicaNão se aplicaNão se aplicaFora ponta",Mercado_Receita!$L$2:$L$225)+SUMIF(Mercado_Receita!$S$2:$S$225,"44593B3ConvencionalNão se aplicaNão se aplicaNão se aplicaNão se aplicaIntermediário",Mercado_Receita!$L$2:$L$225)+SUMIF(Mercado_Receita!$S$2:$S$225,"44593B3ConvencionalNão se aplicaNão se aplicaNão se aplicaNão se aplicaNão se aplica",Mercado_Receita!$L$2:$L$225)</f>
        <v>32.032000000000004</v>
      </c>
      <c r="O45" s="13">
        <f>SUMIF(Mercado_Receita!$S$2:$S$225,"44621B3ConvencionalNão se aplicaNão se aplicaNão se aplicaNão se aplicaPonta",Mercado_Receita!$L$2:$L$225)+SUMIF(Mercado_Receita!$S$2:$S$225,"44621B3ConvencionalNão se aplicaNão se aplicaNão se aplicaNão se aplicaFora ponta",Mercado_Receita!$L$2:$L$225)+SUMIF(Mercado_Receita!$S$2:$S$225,"44621B3ConvencionalNão se aplicaNão se aplicaNão se aplicaNão se aplicaIntermediário",Mercado_Receita!$L$2:$L$225)+SUMIF(Mercado_Receita!$S$2:$S$225,"44621B3ConvencionalNão se aplicaNão se aplicaNão se aplicaNão se aplicaNão se aplica",Mercado_Receita!$L$2:$L$225)</f>
        <v>27.85</v>
      </c>
      <c r="P45" s="13">
        <f>SUMIF(Mercado_Receita!$S$2:$S$225,"44652B3ConvencionalNão se aplicaNão se aplicaNão se aplicaNão se aplicaPonta",Mercado_Receita!$L$2:$L$225)+SUMIF(Mercado_Receita!$S$2:$S$225,"44652B3ConvencionalNão se aplicaNão se aplicaNão se aplicaNão se aplicaFora ponta",Mercado_Receita!$L$2:$L$225)+SUMIF(Mercado_Receita!$S$2:$S$225,"44652B3ConvencionalNão se aplicaNão se aplicaNão se aplicaNão se aplicaIntermediário",Mercado_Receita!$L$2:$L$225)+SUMIF(Mercado_Receita!$S$2:$S$225,"44652B3ConvencionalNão se aplicaNão se aplicaNão se aplicaNão se aplicaNão se aplica",Mercado_Receita!$L$2:$L$225)</f>
        <v>25.650000000000002</v>
      </c>
      <c r="Q45" s="13">
        <f>SUMIF(Mercado_Receita!$S$2:$S$225,"44682B3ConvencionalNão se aplicaNão se aplicaNão se aplicaNão se aplicaPonta",Mercado_Receita!$L$2:$L$225)+SUMIF(Mercado_Receita!$S$2:$S$225,"44682B3ConvencionalNão se aplicaNão se aplicaNão se aplicaNão se aplicaFora ponta",Mercado_Receita!$L$2:$L$225)+SUMIF(Mercado_Receita!$S$2:$S$225,"44682B3ConvencionalNão se aplicaNão se aplicaNão se aplicaNão se aplicaIntermediário",Mercado_Receita!$L$2:$L$225)+SUMIF(Mercado_Receita!$S$2:$S$225,"44682B3ConvencionalNão se aplicaNão se aplicaNão se aplicaNão se aplicaNão se aplica",Mercado_Receita!$L$2:$L$225)</f>
        <v>26.649000000000001</v>
      </c>
      <c r="R45" s="13">
        <f>SUMIF(Mercado_Receita!$S$2:$S$225,"44713B3ConvencionalNão se aplicaNão se aplicaNão se aplicaNão se aplicaPonta",Mercado_Receita!$L$2:$L$225)+SUMIF(Mercado_Receita!$S$2:$S$225,"44713B3ConvencionalNão se aplicaNão se aplicaNão se aplicaNão se aplicaFora ponta",Mercado_Receita!$L$2:$L$225)+SUMIF(Mercado_Receita!$S$2:$S$225,"44713B3ConvencionalNão se aplicaNão se aplicaNão se aplicaNão se aplicaIntermediário",Mercado_Receita!$L$2:$L$225)+SUMIF(Mercado_Receita!$S$2:$S$225,"44713B3ConvencionalNão se aplicaNão se aplicaNão se aplicaNão se aplicaNão se aplica",Mercado_Receita!$L$2:$L$225)</f>
        <v>24.539000000000001</v>
      </c>
      <c r="S45" s="13">
        <f>SUMIF(Mercado_Receita!$S$2:$S$225,"44743B3ConvencionalNão se aplicaNão se aplicaNão se aplicaNão se aplicaPonta",Mercado_Receita!$L$2:$L$225)+SUMIF(Mercado_Receita!$S$2:$S$225,"44743B3ConvencionalNão se aplicaNão se aplicaNão se aplicaNão se aplicaFora ponta",Mercado_Receita!$L$2:$L$225)+SUMIF(Mercado_Receita!$S$2:$S$225,"44743B3ConvencionalNão se aplicaNão se aplicaNão se aplicaNão se aplicaIntermediário",Mercado_Receita!$L$2:$L$225)+SUMIF(Mercado_Receita!$S$2:$S$225,"44743B3ConvencionalNão se aplicaNão se aplicaNão se aplicaNão se aplicaNão se aplica",Mercado_Receita!$L$2:$L$225)</f>
        <v>22.498999999999999</v>
      </c>
      <c r="T45" s="13">
        <f>SUMIF(Mercado_Receita!$S$2:$S$225,"44774B3ConvencionalNão se aplicaNão se aplicaNão se aplicaNão se aplicaPonta",Mercado_Receita!$L$2:$L$225)+SUMIF(Mercado_Receita!$S$2:$S$225,"44774B3ConvencionalNão se aplicaNão se aplicaNão se aplicaNão se aplicaFora ponta",Mercado_Receita!$L$2:$L$225)+SUMIF(Mercado_Receita!$S$2:$S$225,"44774B3ConvencionalNão se aplicaNão se aplicaNão se aplicaNão se aplicaIntermediário",Mercado_Receita!$L$2:$L$225)+SUMIF(Mercado_Receita!$S$2:$S$225,"44774B3ConvencionalNão se aplicaNão se aplicaNão se aplicaNão se aplicaNão se aplica",Mercado_Receita!$L$2:$L$225)</f>
        <v>23.070999999999994</v>
      </c>
      <c r="U45" s="13">
        <f t="shared" si="0"/>
        <v>321.71000000000004</v>
      </c>
      <c r="V45" s="13"/>
      <c r="W45" s="13"/>
    </row>
    <row r="46" spans="1:23" ht="11.25" customHeight="1" x14ac:dyDescent="0.3">
      <c r="A46" s="77"/>
      <c r="B46" s="12" t="s">
        <v>84</v>
      </c>
      <c r="C46" s="12" t="s">
        <v>25</v>
      </c>
      <c r="D46" s="12" t="s">
        <v>25</v>
      </c>
      <c r="E46" s="12" t="s">
        <v>25</v>
      </c>
      <c r="F46" s="12" t="s">
        <v>25</v>
      </c>
      <c r="G46" s="13" t="s">
        <v>74</v>
      </c>
      <c r="H46" s="13" t="s">
        <v>68</v>
      </c>
      <c r="I46" s="13">
        <f>SUMIF(Mercado_Receita!$S$2:$S$225,"44440B3Convencional pré-pagamentoNão se aplicaNão se aplicaNão se aplicaNão se aplicaPonta",Mercado_Receita!$L$2:$L$225)+SUMIF(Mercado_Receita!$S$2:$S$225,"44440B3Convencional pré-pagamentoNão se aplicaNão se aplicaNão se aplicaNão se aplicaFora ponta",Mercado_Receita!$L$2:$L$225)+SUMIF(Mercado_Receita!$S$2:$S$225,"44440B3Convencional pré-pagamentoNão se aplicaNão se aplicaNão se aplicaNão se aplicaIntermediário",Mercado_Receita!$L$2:$L$225)+SUMIF(Mercado_Receita!$S$2:$S$225,"44440B3Convencional pré-pagamentoNão se aplicaNão se aplicaNão se aplicaNão se aplicaNão se aplica",Mercado_Receita!$L$2:$L$225)</f>
        <v>0</v>
      </c>
      <c r="J46" s="13">
        <f>SUMIF(Mercado_Receita!$S$2:$S$225,"44470B3Convencional pré-pagamentoNão se aplicaNão se aplicaNão se aplicaNão se aplicaPonta",Mercado_Receita!$L$2:$L$225)+SUMIF(Mercado_Receita!$S$2:$S$225,"44470B3Convencional pré-pagamentoNão se aplicaNão se aplicaNão se aplicaNão se aplicaFora ponta",Mercado_Receita!$L$2:$L$225)+SUMIF(Mercado_Receita!$S$2:$S$225,"44470B3Convencional pré-pagamentoNão se aplicaNão se aplicaNão se aplicaNão se aplicaIntermediário",Mercado_Receita!$L$2:$L$225)+SUMIF(Mercado_Receita!$S$2:$S$225,"44470B3Convencional pré-pagamentoNão se aplicaNão se aplicaNão se aplicaNão se aplicaNão se aplica",Mercado_Receita!$L$2:$L$225)</f>
        <v>0</v>
      </c>
      <c r="K46" s="13">
        <f>SUMIF(Mercado_Receita!$S$2:$S$225,"44501B3Convencional pré-pagamentoNão se aplicaNão se aplicaNão se aplicaNão se aplicaPonta",Mercado_Receita!$L$2:$L$225)+SUMIF(Mercado_Receita!$S$2:$S$225,"44501B3Convencional pré-pagamentoNão se aplicaNão se aplicaNão se aplicaNão se aplicaFora ponta",Mercado_Receita!$L$2:$L$225)+SUMIF(Mercado_Receita!$S$2:$S$225,"44501B3Convencional pré-pagamentoNão se aplicaNão se aplicaNão se aplicaNão se aplicaIntermediário",Mercado_Receita!$L$2:$L$225)+SUMIF(Mercado_Receita!$S$2:$S$225,"44501B3Convencional pré-pagamentoNão se aplicaNão se aplicaNão se aplicaNão se aplicaNão se aplica",Mercado_Receita!$L$2:$L$225)</f>
        <v>0</v>
      </c>
      <c r="L46" s="13">
        <f>SUMIF(Mercado_Receita!$S$2:$S$225,"44531B3Convencional pré-pagamentoNão se aplicaNão se aplicaNão se aplicaNão se aplicaPonta",Mercado_Receita!$L$2:$L$225)+SUMIF(Mercado_Receita!$S$2:$S$225,"44531B3Convencional pré-pagamentoNão se aplicaNão se aplicaNão se aplicaNão se aplicaFora ponta",Mercado_Receita!$L$2:$L$225)+SUMIF(Mercado_Receita!$S$2:$S$225,"44531B3Convencional pré-pagamentoNão se aplicaNão se aplicaNão se aplicaNão se aplicaIntermediário",Mercado_Receita!$L$2:$L$225)+SUMIF(Mercado_Receita!$S$2:$S$225,"44531B3Convencional pré-pagamentoNão se aplicaNão se aplicaNão se aplicaNão se aplicaNão se aplica",Mercado_Receita!$L$2:$L$225)</f>
        <v>0</v>
      </c>
      <c r="M46" s="13">
        <f>SUMIF(Mercado_Receita!$S$2:$S$225,"44562B3Convencional pré-pagamentoNão se aplicaNão se aplicaNão se aplicaNão se aplicaPonta",Mercado_Receita!$L$2:$L$225)+SUMIF(Mercado_Receita!$S$2:$S$225,"44562B3Convencional pré-pagamentoNão se aplicaNão se aplicaNão se aplicaNão se aplicaFora ponta",Mercado_Receita!$L$2:$L$225)+SUMIF(Mercado_Receita!$S$2:$S$225,"44562B3Convencional pré-pagamentoNão se aplicaNão se aplicaNão se aplicaNão se aplicaIntermediário",Mercado_Receita!$L$2:$L$225)+SUMIF(Mercado_Receita!$S$2:$S$225,"44562B3Convencional pré-pagamentoNão se aplicaNão se aplicaNão se aplicaNão se aplicaNão se aplica",Mercado_Receita!$L$2:$L$225)</f>
        <v>0</v>
      </c>
      <c r="N46" s="13">
        <f>SUMIF(Mercado_Receita!$S$2:$S$225,"44593B3Convencional pré-pagamentoNão se aplicaNão se aplicaNão se aplicaNão se aplicaPonta",Mercado_Receita!$L$2:$L$225)+SUMIF(Mercado_Receita!$S$2:$S$225,"44593B3Convencional pré-pagamentoNão se aplicaNão se aplicaNão se aplicaNão se aplicaFora ponta",Mercado_Receita!$L$2:$L$225)+SUMIF(Mercado_Receita!$S$2:$S$225,"44593B3Convencional pré-pagamentoNão se aplicaNão se aplicaNão se aplicaNão se aplicaIntermediário",Mercado_Receita!$L$2:$L$225)+SUMIF(Mercado_Receita!$S$2:$S$225,"44593B3Convencional pré-pagamentoNão se aplicaNão se aplicaNão se aplicaNão se aplicaNão se aplica",Mercado_Receita!$L$2:$L$225)</f>
        <v>0</v>
      </c>
      <c r="O46" s="13">
        <f>SUMIF(Mercado_Receita!$S$2:$S$225,"44621B3Convencional pré-pagamentoNão se aplicaNão se aplicaNão se aplicaNão se aplicaPonta",Mercado_Receita!$L$2:$L$225)+SUMIF(Mercado_Receita!$S$2:$S$225,"44621B3Convencional pré-pagamentoNão se aplicaNão se aplicaNão se aplicaNão se aplicaFora ponta",Mercado_Receita!$L$2:$L$225)+SUMIF(Mercado_Receita!$S$2:$S$225,"44621B3Convencional pré-pagamentoNão se aplicaNão se aplicaNão se aplicaNão se aplicaIntermediário",Mercado_Receita!$L$2:$L$225)+SUMIF(Mercado_Receita!$S$2:$S$225,"44621B3Convencional pré-pagamentoNão se aplicaNão se aplicaNão se aplicaNão se aplicaNão se aplica",Mercado_Receita!$L$2:$L$225)</f>
        <v>0</v>
      </c>
      <c r="P46" s="13">
        <f>SUMIF(Mercado_Receita!$S$2:$S$225,"44652B3Convencional pré-pagamentoNão se aplicaNão se aplicaNão se aplicaNão se aplicaPonta",Mercado_Receita!$L$2:$L$225)+SUMIF(Mercado_Receita!$S$2:$S$225,"44652B3Convencional pré-pagamentoNão se aplicaNão se aplicaNão se aplicaNão se aplicaFora ponta",Mercado_Receita!$L$2:$L$225)+SUMIF(Mercado_Receita!$S$2:$S$225,"44652B3Convencional pré-pagamentoNão se aplicaNão se aplicaNão se aplicaNão se aplicaIntermediário",Mercado_Receita!$L$2:$L$225)+SUMIF(Mercado_Receita!$S$2:$S$225,"44652B3Convencional pré-pagamentoNão se aplicaNão se aplicaNão se aplicaNão se aplicaNão se aplica",Mercado_Receita!$L$2:$L$225)</f>
        <v>0</v>
      </c>
      <c r="Q46" s="13">
        <f>SUMIF(Mercado_Receita!$S$2:$S$225,"44682B3Convencional pré-pagamentoNão se aplicaNão se aplicaNão se aplicaNão se aplicaPonta",Mercado_Receita!$L$2:$L$225)+SUMIF(Mercado_Receita!$S$2:$S$225,"44682B3Convencional pré-pagamentoNão se aplicaNão se aplicaNão se aplicaNão se aplicaFora ponta",Mercado_Receita!$L$2:$L$225)+SUMIF(Mercado_Receita!$S$2:$S$225,"44682B3Convencional pré-pagamentoNão se aplicaNão se aplicaNão se aplicaNão se aplicaIntermediário",Mercado_Receita!$L$2:$L$225)+SUMIF(Mercado_Receita!$S$2:$S$225,"44682B3Convencional pré-pagamentoNão se aplicaNão se aplicaNão se aplicaNão se aplicaNão se aplica",Mercado_Receita!$L$2:$L$225)</f>
        <v>0</v>
      </c>
      <c r="R46" s="13">
        <f>SUMIF(Mercado_Receita!$S$2:$S$225,"44713B3Convencional pré-pagamentoNão se aplicaNão se aplicaNão se aplicaNão se aplicaPonta",Mercado_Receita!$L$2:$L$225)+SUMIF(Mercado_Receita!$S$2:$S$225,"44713B3Convencional pré-pagamentoNão se aplicaNão se aplicaNão se aplicaNão se aplicaFora ponta",Mercado_Receita!$L$2:$L$225)+SUMIF(Mercado_Receita!$S$2:$S$225,"44713B3Convencional pré-pagamentoNão se aplicaNão se aplicaNão se aplicaNão se aplicaIntermediário",Mercado_Receita!$L$2:$L$225)+SUMIF(Mercado_Receita!$S$2:$S$225,"44713B3Convencional pré-pagamentoNão se aplicaNão se aplicaNão se aplicaNão se aplicaNão se aplica",Mercado_Receita!$L$2:$L$225)</f>
        <v>0</v>
      </c>
      <c r="S46" s="13">
        <f>SUMIF(Mercado_Receita!$S$2:$S$225,"44743B3Convencional pré-pagamentoNão se aplicaNão se aplicaNão se aplicaNão se aplicaPonta",Mercado_Receita!$L$2:$L$225)+SUMIF(Mercado_Receita!$S$2:$S$225,"44743B3Convencional pré-pagamentoNão se aplicaNão se aplicaNão se aplicaNão se aplicaFora ponta",Mercado_Receita!$L$2:$L$225)+SUMIF(Mercado_Receita!$S$2:$S$225,"44743B3Convencional pré-pagamentoNão se aplicaNão se aplicaNão se aplicaNão se aplicaIntermediário",Mercado_Receita!$L$2:$L$225)+SUMIF(Mercado_Receita!$S$2:$S$225,"44743B3Convencional pré-pagamentoNão se aplicaNão se aplicaNão se aplicaNão se aplicaNão se aplica",Mercado_Receita!$L$2:$L$225)</f>
        <v>0</v>
      </c>
      <c r="T46" s="13">
        <f>SUMIF(Mercado_Receita!$S$2:$S$225,"44774B3Convencional pré-pagamentoNão se aplicaNão se aplicaNão se aplicaNão se aplicaPonta",Mercado_Receita!$L$2:$L$225)+SUMIF(Mercado_Receita!$S$2:$S$225,"44774B3Convencional pré-pagamentoNão se aplicaNão se aplicaNão se aplicaNão se aplicaFora ponta",Mercado_Receita!$L$2:$L$225)+SUMIF(Mercado_Receita!$S$2:$S$225,"44774B3Convencional pré-pagamentoNão se aplicaNão se aplicaNão se aplicaNão se aplicaIntermediário",Mercado_Receita!$L$2:$L$225)+SUMIF(Mercado_Receita!$S$2:$S$225,"44774B3Convencional pré-pagamentoNão se aplicaNão se aplicaNão se aplicaNão se aplicaNão se aplica",Mercado_Receita!$L$2:$L$225)</f>
        <v>0</v>
      </c>
      <c r="U46" s="13">
        <f t="shared" si="0"/>
        <v>0</v>
      </c>
      <c r="V46" s="13"/>
      <c r="W46" s="13"/>
    </row>
    <row r="47" spans="1:23" ht="11.25" customHeight="1" x14ac:dyDescent="0.3">
      <c r="A47" s="76" t="s">
        <v>43</v>
      </c>
      <c r="B47" s="76" t="s">
        <v>23</v>
      </c>
      <c r="C47" s="76" t="s">
        <v>44</v>
      </c>
      <c r="D47" s="12" t="s">
        <v>45</v>
      </c>
      <c r="E47" s="12" t="s">
        <v>25</v>
      </c>
      <c r="F47" s="12" t="s">
        <v>25</v>
      </c>
      <c r="G47" s="13" t="s">
        <v>74</v>
      </c>
      <c r="H47" s="13" t="s">
        <v>68</v>
      </c>
      <c r="I47" s="13">
        <f>SUMIF(Mercado_Receita!$S$2:$S$225,"44440B4ConvencionalIluminação públicaIluminação pública – B4aNão se aplicaNão se aplicaPonta",Mercado_Receita!$L$2:$L$225)+SUMIF(Mercado_Receita!$S$2:$S$225,"44440B4ConvencionalIluminação públicaIluminação pública – B4aNão se aplicaNão se aplicaFora ponta",Mercado_Receita!$L$2:$L$225)+SUMIF(Mercado_Receita!$S$2:$S$225,"44440B4ConvencionalIluminação públicaIluminação pública – B4aNão se aplicaNão se aplicaIntermediário",Mercado_Receita!$L$2:$L$225)+SUMIF(Mercado_Receita!$S$2:$S$225,"44440B4ConvencionalIluminação públicaIluminação pública – B4aNão se aplicaNão se aplicaNão se aplica",Mercado_Receita!$L$2:$L$225)</f>
        <v>20.414000000000001</v>
      </c>
      <c r="J47" s="13">
        <f>SUMIF(Mercado_Receita!$S$2:$S$225,"44470B4ConvencionalIluminação públicaIluminação pública – B4aNão se aplicaNão se aplicaPonta",Mercado_Receita!$L$2:$L$225)+SUMIF(Mercado_Receita!$S$2:$S$225,"44470B4ConvencionalIluminação públicaIluminação pública – B4aNão se aplicaNão se aplicaFora ponta",Mercado_Receita!$L$2:$L$225)+SUMIF(Mercado_Receita!$S$2:$S$225,"44470B4ConvencionalIluminação públicaIluminação pública – B4aNão se aplicaNão se aplicaIntermediário",Mercado_Receita!$L$2:$L$225)+SUMIF(Mercado_Receita!$S$2:$S$225,"44470B4ConvencionalIluminação públicaIluminação pública – B4aNão se aplicaNão se aplicaNão se aplica",Mercado_Receita!$L$2:$L$225)</f>
        <v>21.094000000000001</v>
      </c>
      <c r="K47" s="13">
        <f>SUMIF(Mercado_Receita!$S$2:$S$225,"44501B4ConvencionalIluminação públicaIluminação pública – B4aNão se aplicaNão se aplicaPonta",Mercado_Receita!$L$2:$L$225)+SUMIF(Mercado_Receita!$S$2:$S$225,"44501B4ConvencionalIluminação públicaIluminação pública – B4aNão se aplicaNão se aplicaFora ponta",Mercado_Receita!$L$2:$L$225)+SUMIF(Mercado_Receita!$S$2:$S$225,"44501B4ConvencionalIluminação públicaIluminação pública – B4aNão se aplicaNão se aplicaIntermediário",Mercado_Receita!$L$2:$L$225)+SUMIF(Mercado_Receita!$S$2:$S$225,"44501B4ConvencionalIluminação públicaIluminação pública – B4aNão se aplicaNão se aplicaNão se aplica",Mercado_Receita!$L$2:$L$225)</f>
        <v>20.414000000000001</v>
      </c>
      <c r="L47" s="13">
        <f>SUMIF(Mercado_Receita!$S$2:$S$225,"44531B4ConvencionalIluminação públicaIluminação pública – B4aNão se aplicaNão se aplicaPonta",Mercado_Receita!$L$2:$L$225)+SUMIF(Mercado_Receita!$S$2:$S$225,"44531B4ConvencionalIluminação públicaIluminação pública – B4aNão se aplicaNão se aplicaFora ponta",Mercado_Receita!$L$2:$L$225)+SUMIF(Mercado_Receita!$S$2:$S$225,"44531B4ConvencionalIluminação públicaIluminação pública – B4aNão se aplicaNão se aplicaIntermediário",Mercado_Receita!$L$2:$L$225)+SUMIF(Mercado_Receita!$S$2:$S$225,"44531B4ConvencionalIluminação públicaIluminação pública – B4aNão se aplicaNão se aplicaNão se aplica",Mercado_Receita!$L$2:$L$225)</f>
        <v>21.094000000000001</v>
      </c>
      <c r="M47" s="13">
        <f>SUMIF(Mercado_Receita!$S$2:$S$225,"44562B4ConvencionalIluminação públicaIluminação pública – B4aNão se aplicaNão se aplicaPonta",Mercado_Receita!$L$2:$L$225)+SUMIF(Mercado_Receita!$S$2:$S$225,"44562B4ConvencionalIluminação públicaIluminação pública – B4aNão se aplicaNão se aplicaFora ponta",Mercado_Receita!$L$2:$L$225)+SUMIF(Mercado_Receita!$S$2:$S$225,"44562B4ConvencionalIluminação públicaIluminação pública – B4aNão se aplicaNão se aplicaIntermediário",Mercado_Receita!$L$2:$L$225)+SUMIF(Mercado_Receita!$S$2:$S$225,"44562B4ConvencionalIluminação públicaIluminação pública – B4aNão se aplicaNão se aplicaNão se aplica",Mercado_Receita!$L$2:$L$225)</f>
        <v>21.123999999999999</v>
      </c>
      <c r="N47" s="13">
        <f>SUMIF(Mercado_Receita!$S$2:$S$225,"44593B4ConvencionalIluminação públicaIluminação pública – B4aNão se aplicaNão se aplicaPonta",Mercado_Receita!$L$2:$L$225)+SUMIF(Mercado_Receita!$S$2:$S$225,"44593B4ConvencionalIluminação públicaIluminação pública – B4aNão se aplicaNão se aplicaFora ponta",Mercado_Receita!$L$2:$L$225)+SUMIF(Mercado_Receita!$S$2:$S$225,"44593B4ConvencionalIluminação públicaIluminação pública – B4aNão se aplicaNão se aplicaIntermediário",Mercado_Receita!$L$2:$L$225)+SUMIF(Mercado_Receita!$S$2:$S$225,"44593B4ConvencionalIluminação públicaIluminação pública – B4aNão se aplicaNão se aplicaNão se aplica",Mercado_Receita!$L$2:$L$225)</f>
        <v>19.079999999999998</v>
      </c>
      <c r="O47" s="13">
        <f>SUMIF(Mercado_Receita!$S$2:$S$225,"44621B4ConvencionalIluminação públicaIluminação pública – B4aNão se aplicaNão se aplicaPonta",Mercado_Receita!$L$2:$L$225)+SUMIF(Mercado_Receita!$S$2:$S$225,"44621B4ConvencionalIluminação públicaIluminação pública – B4aNão se aplicaNão se aplicaFora ponta",Mercado_Receita!$L$2:$L$225)+SUMIF(Mercado_Receita!$S$2:$S$225,"44621B4ConvencionalIluminação públicaIluminação pública – B4aNão se aplicaNão se aplicaIntermediário",Mercado_Receita!$L$2:$L$225)+SUMIF(Mercado_Receita!$S$2:$S$225,"44621B4ConvencionalIluminação públicaIluminação pública – B4aNão se aplicaNão se aplicaNão se aplica",Mercado_Receita!$L$2:$L$225)</f>
        <v>21.184000000000001</v>
      </c>
      <c r="P47" s="13">
        <f>SUMIF(Mercado_Receita!$S$2:$S$225,"44652B4ConvencionalIluminação públicaIluminação pública – B4aNão se aplicaNão se aplicaPonta",Mercado_Receita!$L$2:$L$225)+SUMIF(Mercado_Receita!$S$2:$S$225,"44652B4ConvencionalIluminação públicaIluminação pública – B4aNão se aplicaNão se aplicaFora ponta",Mercado_Receita!$L$2:$L$225)+SUMIF(Mercado_Receita!$S$2:$S$225,"44652B4ConvencionalIluminação públicaIluminação pública – B4aNão se aplicaNão se aplicaIntermediário",Mercado_Receita!$L$2:$L$225)+SUMIF(Mercado_Receita!$S$2:$S$225,"44652B4ConvencionalIluminação públicaIluminação pública – B4aNão se aplicaNão se aplicaNão se aplica",Mercado_Receita!$L$2:$L$225)</f>
        <v>20.5</v>
      </c>
      <c r="Q47" s="13">
        <f>SUMIF(Mercado_Receita!$S$2:$S$225,"44682B4ConvencionalIluminação públicaIluminação pública – B4aNão se aplicaNão se aplicaPonta",Mercado_Receita!$L$2:$L$225)+SUMIF(Mercado_Receita!$S$2:$S$225,"44682B4ConvencionalIluminação públicaIluminação pública – B4aNão se aplicaNão se aplicaFora ponta",Mercado_Receita!$L$2:$L$225)+SUMIF(Mercado_Receita!$S$2:$S$225,"44682B4ConvencionalIluminação públicaIluminação pública – B4aNão se aplicaNão se aplicaIntermediário",Mercado_Receita!$L$2:$L$225)+SUMIF(Mercado_Receita!$S$2:$S$225,"44682B4ConvencionalIluminação públicaIluminação pública – B4aNão se aplicaNão se aplicaNão se aplica",Mercado_Receita!$L$2:$L$225)</f>
        <v>21.184000000000001</v>
      </c>
      <c r="R47" s="13">
        <f>SUMIF(Mercado_Receita!$S$2:$S$225,"44713B4ConvencionalIluminação públicaIluminação pública – B4aNão se aplicaNão se aplicaPonta",Mercado_Receita!$L$2:$L$225)+SUMIF(Mercado_Receita!$S$2:$S$225,"44713B4ConvencionalIluminação públicaIluminação pública – B4aNão se aplicaNão se aplicaFora ponta",Mercado_Receita!$L$2:$L$225)+SUMIF(Mercado_Receita!$S$2:$S$225,"44713B4ConvencionalIluminação públicaIluminação pública – B4aNão se aplicaNão se aplicaIntermediário",Mercado_Receita!$L$2:$L$225)+SUMIF(Mercado_Receita!$S$2:$S$225,"44713B4ConvencionalIluminação públicaIluminação pública – B4aNão se aplicaNão se aplicaNão se aplica",Mercado_Receita!$L$2:$L$225)</f>
        <v>20.5</v>
      </c>
      <c r="S47" s="13">
        <f>SUMIF(Mercado_Receita!$S$2:$S$225,"44743B4ConvencionalIluminação públicaIluminação pública – B4aNão se aplicaNão se aplicaPonta",Mercado_Receita!$L$2:$L$225)+SUMIF(Mercado_Receita!$S$2:$S$225,"44743B4ConvencionalIluminação públicaIluminação pública – B4aNão se aplicaNão se aplicaFora ponta",Mercado_Receita!$L$2:$L$225)+SUMIF(Mercado_Receita!$S$2:$S$225,"44743B4ConvencionalIluminação públicaIluminação pública – B4aNão se aplicaNão se aplicaIntermediário",Mercado_Receita!$L$2:$L$225)+SUMIF(Mercado_Receita!$S$2:$S$225,"44743B4ConvencionalIluminação públicaIluminação pública – B4aNão se aplicaNão se aplicaNão se aplica",Mercado_Receita!$L$2:$L$225)</f>
        <v>21.538</v>
      </c>
      <c r="T47" s="13">
        <f>SUMIF(Mercado_Receita!$S$2:$S$225,"44774B4ConvencionalIluminação públicaIluminação pública – B4aNão se aplicaNão se aplicaPonta",Mercado_Receita!$L$2:$L$225)+SUMIF(Mercado_Receita!$S$2:$S$225,"44774B4ConvencionalIluminação públicaIluminação pública – B4aNão se aplicaNão se aplicaFora ponta",Mercado_Receita!$L$2:$L$225)+SUMIF(Mercado_Receita!$S$2:$S$225,"44774B4ConvencionalIluminação públicaIluminação pública – B4aNão se aplicaNão se aplicaIntermediário",Mercado_Receita!$L$2:$L$225)+SUMIF(Mercado_Receita!$S$2:$S$225,"44774B4ConvencionalIluminação públicaIluminação pública – B4aNão se aplicaNão se aplicaNão se aplica",Mercado_Receita!$L$2:$L$225)</f>
        <v>21.538</v>
      </c>
      <c r="U47" s="13">
        <f t="shared" si="0"/>
        <v>249.66400000000002</v>
      </c>
      <c r="V47" s="13"/>
      <c r="W47" s="13"/>
    </row>
    <row r="48" spans="1:23" ht="11.25" customHeight="1" x14ac:dyDescent="0.3">
      <c r="A48" s="77"/>
      <c r="B48" s="77"/>
      <c r="C48" s="77"/>
      <c r="D48" s="13" t="s">
        <v>87</v>
      </c>
      <c r="E48" s="13" t="s">
        <v>25</v>
      </c>
      <c r="F48" s="13" t="s">
        <v>25</v>
      </c>
      <c r="G48" s="13" t="s">
        <v>74</v>
      </c>
      <c r="H48" s="13" t="s">
        <v>68</v>
      </c>
      <c r="I48" s="13">
        <f>SUMIF(Mercado_Receita!$S$2:$S$225,"44440B4ConvencionalIluminação públicaIluminação pública – B4bNão se aplicaNão se aplicaPonta",Mercado_Receita!$L$2:$L$225)+SUMIF(Mercado_Receita!$S$2:$S$225,"44440B4ConvencionalIluminação públicaIluminação pública – B4bNão se aplicaNão se aplicaFora ponta",Mercado_Receita!$L$2:$L$225)+SUMIF(Mercado_Receita!$S$2:$S$225,"44440B4ConvencionalIluminação públicaIluminação pública – B4bNão se aplicaNão se aplicaIntermediário",Mercado_Receita!$L$2:$L$225)+SUMIF(Mercado_Receita!$S$2:$S$225,"44440B4ConvencionalIluminação públicaIluminação pública – B4bNão se aplicaNão se aplicaNão se aplica",Mercado_Receita!$L$2:$L$225)</f>
        <v>0</v>
      </c>
      <c r="J48" s="13">
        <f>SUMIF(Mercado_Receita!$S$2:$S$225,"44470B4ConvencionalIluminação públicaIluminação pública – B4bNão se aplicaNão se aplicaPonta",Mercado_Receita!$L$2:$L$225)+SUMIF(Mercado_Receita!$S$2:$S$225,"44470B4ConvencionalIluminação públicaIluminação pública – B4bNão se aplicaNão se aplicaFora ponta",Mercado_Receita!$L$2:$L$225)+SUMIF(Mercado_Receita!$S$2:$S$225,"44470B4ConvencionalIluminação públicaIluminação pública – B4bNão se aplicaNão se aplicaIntermediário",Mercado_Receita!$L$2:$L$225)+SUMIF(Mercado_Receita!$S$2:$S$225,"44470B4ConvencionalIluminação públicaIluminação pública – B4bNão se aplicaNão se aplicaNão se aplica",Mercado_Receita!$L$2:$L$225)</f>
        <v>0</v>
      </c>
      <c r="K48" s="13">
        <f>SUMIF(Mercado_Receita!$S$2:$S$225,"44501B4ConvencionalIluminação públicaIluminação pública – B4bNão se aplicaNão se aplicaPonta",Mercado_Receita!$L$2:$L$225)+SUMIF(Mercado_Receita!$S$2:$S$225,"44501B4ConvencionalIluminação públicaIluminação pública – B4bNão se aplicaNão se aplicaFora ponta",Mercado_Receita!$L$2:$L$225)+SUMIF(Mercado_Receita!$S$2:$S$225,"44501B4ConvencionalIluminação públicaIluminação pública – B4bNão se aplicaNão se aplicaIntermediário",Mercado_Receita!$L$2:$L$225)+SUMIF(Mercado_Receita!$S$2:$S$225,"44501B4ConvencionalIluminação públicaIluminação pública – B4bNão se aplicaNão se aplicaNão se aplica",Mercado_Receita!$L$2:$L$225)</f>
        <v>0</v>
      </c>
      <c r="L48" s="13">
        <f>SUMIF(Mercado_Receita!$S$2:$S$225,"44531B4ConvencionalIluminação públicaIluminação pública – B4bNão se aplicaNão se aplicaPonta",Mercado_Receita!$L$2:$L$225)+SUMIF(Mercado_Receita!$S$2:$S$225,"44531B4ConvencionalIluminação públicaIluminação pública – B4bNão se aplicaNão se aplicaFora ponta",Mercado_Receita!$L$2:$L$225)+SUMIF(Mercado_Receita!$S$2:$S$225,"44531B4ConvencionalIluminação públicaIluminação pública – B4bNão se aplicaNão se aplicaIntermediário",Mercado_Receita!$L$2:$L$225)+SUMIF(Mercado_Receita!$S$2:$S$225,"44531B4ConvencionalIluminação públicaIluminação pública – B4bNão se aplicaNão se aplicaNão se aplica",Mercado_Receita!$L$2:$L$225)</f>
        <v>0</v>
      </c>
      <c r="M48" s="13">
        <f>SUMIF(Mercado_Receita!$S$2:$S$225,"44562B4ConvencionalIluminação públicaIluminação pública – B4bNão se aplicaNão se aplicaPonta",Mercado_Receita!$L$2:$L$225)+SUMIF(Mercado_Receita!$S$2:$S$225,"44562B4ConvencionalIluminação públicaIluminação pública – B4bNão se aplicaNão se aplicaFora ponta",Mercado_Receita!$L$2:$L$225)+SUMIF(Mercado_Receita!$S$2:$S$225,"44562B4ConvencionalIluminação públicaIluminação pública – B4bNão se aplicaNão se aplicaIntermediário",Mercado_Receita!$L$2:$L$225)+SUMIF(Mercado_Receita!$S$2:$S$225,"44562B4ConvencionalIluminação públicaIluminação pública – B4bNão se aplicaNão se aplicaNão se aplica",Mercado_Receita!$L$2:$L$225)</f>
        <v>0</v>
      </c>
      <c r="N48" s="13">
        <f>SUMIF(Mercado_Receita!$S$2:$S$225,"44593B4ConvencionalIluminação públicaIluminação pública – B4bNão se aplicaNão se aplicaPonta",Mercado_Receita!$L$2:$L$225)+SUMIF(Mercado_Receita!$S$2:$S$225,"44593B4ConvencionalIluminação públicaIluminação pública – B4bNão se aplicaNão se aplicaFora ponta",Mercado_Receita!$L$2:$L$225)+SUMIF(Mercado_Receita!$S$2:$S$225,"44593B4ConvencionalIluminação públicaIluminação pública – B4bNão se aplicaNão se aplicaIntermediário",Mercado_Receita!$L$2:$L$225)+SUMIF(Mercado_Receita!$S$2:$S$225,"44593B4ConvencionalIluminação públicaIluminação pública – B4bNão se aplicaNão se aplicaNão se aplica",Mercado_Receita!$L$2:$L$225)</f>
        <v>0</v>
      </c>
      <c r="O48" s="13">
        <f>SUMIF(Mercado_Receita!$S$2:$S$225,"44621B4ConvencionalIluminação públicaIluminação pública – B4bNão se aplicaNão se aplicaPonta",Mercado_Receita!$L$2:$L$225)+SUMIF(Mercado_Receita!$S$2:$S$225,"44621B4ConvencionalIluminação públicaIluminação pública – B4bNão se aplicaNão se aplicaFora ponta",Mercado_Receita!$L$2:$L$225)+SUMIF(Mercado_Receita!$S$2:$S$225,"44621B4ConvencionalIluminação públicaIluminação pública – B4bNão se aplicaNão se aplicaIntermediário",Mercado_Receita!$L$2:$L$225)+SUMIF(Mercado_Receita!$S$2:$S$225,"44621B4ConvencionalIluminação públicaIluminação pública – B4bNão se aplicaNão se aplicaNão se aplica",Mercado_Receita!$L$2:$L$225)</f>
        <v>0</v>
      </c>
      <c r="P48" s="13">
        <f>SUMIF(Mercado_Receita!$S$2:$S$225,"44652B4ConvencionalIluminação públicaIluminação pública – B4bNão se aplicaNão se aplicaPonta",Mercado_Receita!$L$2:$L$225)+SUMIF(Mercado_Receita!$S$2:$S$225,"44652B4ConvencionalIluminação públicaIluminação pública – B4bNão se aplicaNão se aplicaFora ponta",Mercado_Receita!$L$2:$L$225)+SUMIF(Mercado_Receita!$S$2:$S$225,"44652B4ConvencionalIluminação públicaIluminação pública – B4bNão se aplicaNão se aplicaIntermediário",Mercado_Receita!$L$2:$L$225)+SUMIF(Mercado_Receita!$S$2:$S$225,"44652B4ConvencionalIluminação públicaIluminação pública – B4bNão se aplicaNão se aplicaNão se aplica",Mercado_Receita!$L$2:$L$225)</f>
        <v>0</v>
      </c>
      <c r="Q48" s="13">
        <f>SUMIF(Mercado_Receita!$S$2:$S$225,"44682B4ConvencionalIluminação públicaIluminação pública – B4bNão se aplicaNão se aplicaPonta",Mercado_Receita!$L$2:$L$225)+SUMIF(Mercado_Receita!$S$2:$S$225,"44682B4ConvencionalIluminação públicaIluminação pública – B4bNão se aplicaNão se aplicaFora ponta",Mercado_Receita!$L$2:$L$225)+SUMIF(Mercado_Receita!$S$2:$S$225,"44682B4ConvencionalIluminação públicaIluminação pública – B4bNão se aplicaNão se aplicaIntermediário",Mercado_Receita!$L$2:$L$225)+SUMIF(Mercado_Receita!$S$2:$S$225,"44682B4ConvencionalIluminação públicaIluminação pública – B4bNão se aplicaNão se aplicaNão se aplica",Mercado_Receita!$L$2:$L$225)</f>
        <v>0</v>
      </c>
      <c r="R48" s="13">
        <f>SUMIF(Mercado_Receita!$S$2:$S$225,"44713B4ConvencionalIluminação públicaIluminação pública – B4bNão se aplicaNão se aplicaPonta",Mercado_Receita!$L$2:$L$225)+SUMIF(Mercado_Receita!$S$2:$S$225,"44713B4ConvencionalIluminação públicaIluminação pública – B4bNão se aplicaNão se aplicaFora ponta",Mercado_Receita!$L$2:$L$225)+SUMIF(Mercado_Receita!$S$2:$S$225,"44713B4ConvencionalIluminação públicaIluminação pública – B4bNão se aplicaNão se aplicaIntermediário",Mercado_Receita!$L$2:$L$225)+SUMIF(Mercado_Receita!$S$2:$S$225,"44713B4ConvencionalIluminação públicaIluminação pública – B4bNão se aplicaNão se aplicaNão se aplica",Mercado_Receita!$L$2:$L$225)</f>
        <v>0</v>
      </c>
      <c r="S48" s="13">
        <f>SUMIF(Mercado_Receita!$S$2:$S$225,"44743B4ConvencionalIluminação públicaIluminação pública – B4bNão se aplicaNão se aplicaPonta",Mercado_Receita!$L$2:$L$225)+SUMIF(Mercado_Receita!$S$2:$S$225,"44743B4ConvencionalIluminação públicaIluminação pública – B4bNão se aplicaNão se aplicaFora ponta",Mercado_Receita!$L$2:$L$225)+SUMIF(Mercado_Receita!$S$2:$S$225,"44743B4ConvencionalIluminação públicaIluminação pública – B4bNão se aplicaNão se aplicaIntermediário",Mercado_Receita!$L$2:$L$225)+SUMIF(Mercado_Receita!$S$2:$S$225,"44743B4ConvencionalIluminação públicaIluminação pública – B4bNão se aplicaNão se aplicaNão se aplica",Mercado_Receita!$L$2:$L$225)</f>
        <v>0</v>
      </c>
      <c r="T48" s="13">
        <f>SUMIF(Mercado_Receita!$S$2:$S$225,"44774B4ConvencionalIluminação públicaIluminação pública – B4bNão se aplicaNão se aplicaPonta",Mercado_Receita!$L$2:$L$225)+SUMIF(Mercado_Receita!$S$2:$S$225,"44774B4ConvencionalIluminação públicaIluminação pública – B4bNão se aplicaNão se aplicaFora ponta",Mercado_Receita!$L$2:$L$225)+SUMIF(Mercado_Receita!$S$2:$S$225,"44774B4ConvencionalIluminação públicaIluminação pública – B4bNão se aplicaNão se aplicaIntermediário",Mercado_Receita!$L$2:$L$225)+SUMIF(Mercado_Receita!$S$2:$S$225,"44774B4ConvencionalIluminação públicaIluminação pública – B4bNão se aplicaNão se aplicaNão se aplica",Mercado_Receita!$L$2:$L$225)</f>
        <v>0</v>
      </c>
      <c r="U48" s="13">
        <f t="shared" si="0"/>
        <v>0</v>
      </c>
      <c r="V48" s="13"/>
      <c r="W48" s="13"/>
    </row>
    <row r="49" spans="1:23" ht="11.25" customHeight="1" x14ac:dyDescent="0.3">
      <c r="A49" s="78" t="s">
        <v>366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13"/>
      <c r="W49" s="13"/>
    </row>
  </sheetData>
  <mergeCells count="55">
    <mergeCell ref="A47:A48"/>
    <mergeCell ref="B47:B48"/>
    <mergeCell ref="C47:C48"/>
    <mergeCell ref="A49:U49"/>
    <mergeCell ref="C39:C41"/>
    <mergeCell ref="B39:B41"/>
    <mergeCell ref="A27:A41"/>
    <mergeCell ref="F42:F44"/>
    <mergeCell ref="E42:E44"/>
    <mergeCell ref="D42:D44"/>
    <mergeCell ref="C42:C44"/>
    <mergeCell ref="B42:B44"/>
    <mergeCell ref="A42:A46"/>
    <mergeCell ref="F31:F33"/>
    <mergeCell ref="E31:E33"/>
    <mergeCell ref="D31:D33"/>
    <mergeCell ref="C31:C33"/>
    <mergeCell ref="B31:B33"/>
    <mergeCell ref="F35:F37"/>
    <mergeCell ref="E35:E37"/>
    <mergeCell ref="D35:D37"/>
    <mergeCell ref="C35:C37"/>
    <mergeCell ref="B35:B37"/>
    <mergeCell ref="C17:C21"/>
    <mergeCell ref="B17:B21"/>
    <mergeCell ref="C22:C26"/>
    <mergeCell ref="B22:B26"/>
    <mergeCell ref="A14:A26"/>
    <mergeCell ref="F27:F29"/>
    <mergeCell ref="E27:E29"/>
    <mergeCell ref="D27:D29"/>
    <mergeCell ref="C27:C29"/>
    <mergeCell ref="B27:B29"/>
    <mergeCell ref="D12:D13"/>
    <mergeCell ref="C12:C13"/>
    <mergeCell ref="B12:B13"/>
    <mergeCell ref="A12:A13"/>
    <mergeCell ref="F14:F16"/>
    <mergeCell ref="E14:E16"/>
    <mergeCell ref="D14:D16"/>
    <mergeCell ref="C14:C16"/>
    <mergeCell ref="B14:B16"/>
    <mergeCell ref="A2:A11"/>
    <mergeCell ref="F2:F4"/>
    <mergeCell ref="E2:E4"/>
    <mergeCell ref="D2:D5"/>
    <mergeCell ref="C2:C5"/>
    <mergeCell ref="B2:B5"/>
    <mergeCell ref="F7:F9"/>
    <mergeCell ref="E7:E9"/>
    <mergeCell ref="F10:F11"/>
    <mergeCell ref="E10:E11"/>
    <mergeCell ref="D7:D11"/>
    <mergeCell ref="C7:C11"/>
    <mergeCell ref="B7:B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F481-0255-4093-B91C-6CD673A53374}">
  <dimension ref="A1:AD39"/>
  <sheetViews>
    <sheetView showGridLines="0" workbookViewId="0">
      <selection sqref="A1:W39"/>
    </sheetView>
  </sheetViews>
  <sheetFormatPr defaultRowHeight="11.25" customHeight="1" x14ac:dyDescent="0.3"/>
  <cols>
    <col min="1" max="1" width="9" style="9" bestFit="1" customWidth="1"/>
    <col min="2" max="2" width="24.66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8" width="7.109375" style="9" bestFit="1" customWidth="1"/>
    <col min="9" max="10" width="5.109375" style="9" bestFit="1" customWidth="1"/>
    <col min="11" max="12" width="5.44140625" style="9" bestFit="1" customWidth="1"/>
    <col min="13" max="14" width="5.109375" style="9" bestFit="1" customWidth="1"/>
    <col min="15" max="15" width="5.6640625" style="9" bestFit="1" customWidth="1"/>
    <col min="16" max="16" width="5.21875" style="9" bestFit="1" customWidth="1"/>
    <col min="17" max="17" width="5.5546875" style="9" bestFit="1" customWidth="1"/>
    <col min="18" max="19" width="5.109375" style="9" bestFit="1" customWidth="1"/>
    <col min="20" max="20" width="5.5546875" style="9" bestFit="1" customWidth="1"/>
    <col min="21" max="21" width="13" style="9" bestFit="1" customWidth="1"/>
    <col min="22" max="16384" width="8.88671875" style="9"/>
  </cols>
  <sheetData>
    <row r="1" spans="1:30" ht="11.25" customHeight="1" x14ac:dyDescent="0.3">
      <c r="A1" s="10" t="s">
        <v>58</v>
      </c>
      <c r="B1" s="10" t="s">
        <v>59</v>
      </c>
      <c r="C1" s="10" t="s">
        <v>60</v>
      </c>
      <c r="D1" s="10" t="s">
        <v>61</v>
      </c>
      <c r="E1" s="10" t="s">
        <v>62</v>
      </c>
      <c r="F1" s="10" t="s">
        <v>63</v>
      </c>
      <c r="G1" s="10" t="s">
        <v>64</v>
      </c>
      <c r="H1" s="10" t="s">
        <v>65</v>
      </c>
      <c r="I1" s="11">
        <v>44440</v>
      </c>
      <c r="J1" s="11">
        <v>44470</v>
      </c>
      <c r="K1" s="11">
        <v>44501</v>
      </c>
      <c r="L1" s="11">
        <v>44531</v>
      </c>
      <c r="M1" s="11">
        <v>44562</v>
      </c>
      <c r="N1" s="11">
        <v>44593</v>
      </c>
      <c r="O1" s="11">
        <v>44621</v>
      </c>
      <c r="P1" s="11">
        <v>44652</v>
      </c>
      <c r="Q1" s="11">
        <v>44682</v>
      </c>
      <c r="R1" s="11">
        <v>44713</v>
      </c>
      <c r="S1" s="11">
        <v>44743</v>
      </c>
      <c r="T1" s="11">
        <v>44774</v>
      </c>
      <c r="U1" s="10" t="s">
        <v>66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3">
      <c r="A2" s="76" t="s">
        <v>33</v>
      </c>
      <c r="B2" s="76" t="s">
        <v>67</v>
      </c>
      <c r="C2" s="76" t="s">
        <v>25</v>
      </c>
      <c r="D2" s="76" t="s">
        <v>25</v>
      </c>
      <c r="E2" s="76" t="s">
        <v>25</v>
      </c>
      <c r="F2" s="76" t="s">
        <v>25</v>
      </c>
      <c r="G2" s="13" t="s">
        <v>69</v>
      </c>
      <c r="H2" s="13" t="s">
        <v>68</v>
      </c>
      <c r="I2" s="13">
        <f>SUMIF(Mercado_Receita!$T$2:$T$225,"44440A4Energia horáriaNão se aplicaNão se aplicaNão se aplicaNão se aplicaPonta",Mercado_Receita!$N$2:$N$225)</f>
        <v>67.367000000000004</v>
      </c>
      <c r="J2" s="13">
        <f>SUMIF(Mercado_Receita!$T$2:$T$225,"44470A4Energia horáriaNão se aplicaNão se aplicaNão se aplicaNão se aplicaPonta",Mercado_Receita!$N$2:$N$225)</f>
        <v>66.507999999999996</v>
      </c>
      <c r="K2" s="13">
        <f>SUMIF(Mercado_Receita!$T$2:$T$225,"44501A4Energia horáriaNão se aplicaNão se aplicaNão se aplicaNão se aplicaPonta",Mercado_Receita!$N$2:$N$225)</f>
        <v>70.12</v>
      </c>
      <c r="L2" s="13">
        <f>SUMIF(Mercado_Receita!$T$2:$T$225,"44531A4Energia horáriaNão se aplicaNão se aplicaNão se aplicaNão se aplicaPonta",Mercado_Receita!$N$2:$N$225)</f>
        <v>81.076999999999998</v>
      </c>
      <c r="M2" s="13">
        <f>SUMIF(Mercado_Receita!$T$2:$T$225,"44562A4Energia horáriaNão se aplicaNão se aplicaNão se aplicaNão se aplicaPonta",Mercado_Receita!$N$2:$N$225)</f>
        <v>78.575000000000003</v>
      </c>
      <c r="N2" s="13">
        <f>SUMIF(Mercado_Receita!$T$2:$T$225,"44593A4Energia horáriaNão se aplicaNão se aplicaNão se aplicaNão se aplicaPonta",Mercado_Receita!$N$2:$N$225)</f>
        <v>68.162000000000006</v>
      </c>
      <c r="O2" s="13">
        <f>SUMIF(Mercado_Receita!$T$2:$T$225,"44621A4Energia horáriaNão se aplicaNão se aplicaNão se aplicaNão se aplicaPonta",Mercado_Receita!$N$2:$N$225)</f>
        <v>83.962999999999994</v>
      </c>
      <c r="P2" s="13">
        <f>SUMIF(Mercado_Receita!$T$2:$T$225,"44652A4Energia horáriaNão se aplicaNão se aplicaNão se aplicaNão se aplicaPonta",Mercado_Receita!$N$2:$N$225)</f>
        <v>74.7</v>
      </c>
      <c r="Q2" s="13">
        <f>SUMIF(Mercado_Receita!$T$2:$T$225,"44682A4Energia horáriaNão se aplicaNão se aplicaNão se aplicaNão se aplicaPonta",Mercado_Receita!$N$2:$N$225)</f>
        <v>83.176999999999992</v>
      </c>
      <c r="R2" s="13">
        <f>SUMIF(Mercado_Receita!$T$2:$T$225,"44713A4Energia horáriaNão se aplicaNão se aplicaNão se aplicaNão se aplicaPonta",Mercado_Receita!$N$2:$N$225)</f>
        <v>77.072000000000003</v>
      </c>
      <c r="S2" s="13">
        <f>SUMIF(Mercado_Receita!$T$2:$T$225,"44743A4Energia horáriaNão se aplicaNão se aplicaNão se aplicaNão se aplicaPonta",Mercado_Receita!$N$2:$N$225)</f>
        <v>78.222999999999999</v>
      </c>
      <c r="T2" s="13">
        <f>SUMIF(Mercado_Receita!$T$2:$T$225,"44774A4Energia horáriaNão se aplicaNão se aplicaNão se aplicaNão se aplicaPonta",Mercado_Receita!$N$2:$N$225)</f>
        <v>88.62299999999999</v>
      </c>
      <c r="U2" s="13">
        <f t="shared" ref="U2:U38" si="0">SUM(I2:T2)</f>
        <v>917.56700000000001</v>
      </c>
      <c r="V2" s="13"/>
      <c r="W2" s="13"/>
    </row>
    <row r="3" spans="1:30" ht="11.25" customHeight="1" x14ac:dyDescent="0.3">
      <c r="A3" s="77"/>
      <c r="B3" s="77"/>
      <c r="C3" s="77"/>
      <c r="D3" s="77"/>
      <c r="E3" s="77"/>
      <c r="F3" s="77"/>
      <c r="G3" s="13" t="s">
        <v>70</v>
      </c>
      <c r="H3" s="13" t="s">
        <v>68</v>
      </c>
      <c r="I3" s="13">
        <f>SUMIF(Mercado_Receita!$T$2:$T$225,"44440A4Energia horáriaNão se aplicaNão se aplicaNão se aplicaNão se aplicaFora ponta",Mercado_Receita!$N$2:$N$225)</f>
        <v>815.35199999999998</v>
      </c>
      <c r="J3" s="13">
        <f>SUMIF(Mercado_Receita!$T$2:$T$225,"44470A4Energia horáriaNão se aplicaNão se aplicaNão se aplicaNão se aplicaFora ponta",Mercado_Receita!$N$2:$N$225)</f>
        <v>826.44599999999991</v>
      </c>
      <c r="K3" s="13">
        <f>SUMIF(Mercado_Receita!$T$2:$T$225,"44501A4Energia horáriaNão se aplicaNão se aplicaNão se aplicaNão se aplicaFora ponta",Mercado_Receita!$N$2:$N$225)</f>
        <v>855.56</v>
      </c>
      <c r="L3" s="13">
        <f>SUMIF(Mercado_Receita!$T$2:$T$225,"44531A4Energia horáriaNão se aplicaNão se aplicaNão se aplicaNão se aplicaFora ponta",Mercado_Receita!$N$2:$N$225)</f>
        <v>849.024</v>
      </c>
      <c r="M3" s="13">
        <f>SUMIF(Mercado_Receita!$T$2:$T$225,"44562A4Energia horáriaNão se aplicaNão se aplicaNão se aplicaNão se aplicaFora ponta",Mercado_Receita!$N$2:$N$225)</f>
        <v>871.154</v>
      </c>
      <c r="N3" s="13">
        <f>SUMIF(Mercado_Receita!$T$2:$T$225,"44593A4Energia horáriaNão se aplicaNão se aplicaNão se aplicaNão se aplicaFora ponta",Mercado_Receita!$N$2:$N$225)</f>
        <v>727.83800000000008</v>
      </c>
      <c r="O3" s="13">
        <f>SUMIF(Mercado_Receita!$T$2:$T$225,"44621A4Energia horáriaNão se aplicaNão se aplicaNão se aplicaNão se aplicaFora ponta",Mercado_Receita!$N$2:$N$225)</f>
        <v>909.0619999999999</v>
      </c>
      <c r="P3" s="13">
        <f>SUMIF(Mercado_Receita!$T$2:$T$225,"44652A4Energia horáriaNão se aplicaNão se aplicaNão se aplicaNão se aplicaFora ponta",Mercado_Receita!$N$2:$N$225)</f>
        <v>870.61099999999999</v>
      </c>
      <c r="Q3" s="13">
        <f>SUMIF(Mercado_Receita!$T$2:$T$225,"44682A4Energia horáriaNão se aplicaNão se aplicaNão se aplicaNão se aplicaFora ponta",Mercado_Receita!$N$2:$N$225)</f>
        <v>921.82100000000003</v>
      </c>
      <c r="R3" s="13">
        <f>SUMIF(Mercado_Receita!$T$2:$T$225,"44713A4Energia horáriaNão se aplicaNão se aplicaNão se aplicaNão se aplicaFora ponta",Mercado_Receita!$N$2:$N$225)</f>
        <v>869.70100000000002</v>
      </c>
      <c r="S3" s="13">
        <f>SUMIF(Mercado_Receita!$T$2:$T$225,"44743A4Energia horáriaNão se aplicaNão se aplicaNão se aplicaNão se aplicaFora ponta",Mercado_Receita!$N$2:$N$225)</f>
        <v>908.61799999999994</v>
      </c>
      <c r="T3" s="13">
        <f>SUMIF(Mercado_Receita!$T$2:$T$225,"44774A4Energia horáriaNão se aplicaNão se aplicaNão se aplicaNão se aplicaFora ponta",Mercado_Receita!$N$2:$N$225)</f>
        <v>914.85699999999997</v>
      </c>
      <c r="U3" s="13">
        <f t="shared" si="0"/>
        <v>10340.044</v>
      </c>
      <c r="V3" s="13"/>
      <c r="W3" s="13"/>
    </row>
    <row r="4" spans="1:30" ht="11.25" customHeight="1" x14ac:dyDescent="0.3">
      <c r="A4" s="76" t="s">
        <v>22</v>
      </c>
      <c r="B4" s="76" t="s">
        <v>67</v>
      </c>
      <c r="C4" s="76" t="s">
        <v>24</v>
      </c>
      <c r="D4" s="76" t="s">
        <v>24</v>
      </c>
      <c r="E4" s="76" t="s">
        <v>25</v>
      </c>
      <c r="F4" s="76" t="s">
        <v>25</v>
      </c>
      <c r="G4" s="13" t="s">
        <v>69</v>
      </c>
      <c r="H4" s="13" t="s">
        <v>68</v>
      </c>
      <c r="I4" s="13">
        <f>SUMIF(Mercado_Receita!$T$2:$T$225,"44440B1Energia horáriaResidencialResidencialNão se aplicaNão se aplicaPonta",Mercado_Receita!$N$2:$N$225)</f>
        <v>0</v>
      </c>
      <c r="J4" s="13">
        <f>SUMIF(Mercado_Receita!$T$2:$T$225,"44470B1Energia horáriaResidencialResidencialNão se aplicaNão se aplicaPonta",Mercado_Receita!$N$2:$N$225)</f>
        <v>0</v>
      </c>
      <c r="K4" s="13">
        <f>SUMIF(Mercado_Receita!$T$2:$T$225,"44501B1Energia horáriaResidencialResidencialNão se aplicaNão se aplicaPonta",Mercado_Receita!$N$2:$N$225)</f>
        <v>0</v>
      </c>
      <c r="L4" s="13">
        <f>SUMIF(Mercado_Receita!$T$2:$T$225,"44531B1Energia horáriaResidencialResidencialNão se aplicaNão se aplicaPonta",Mercado_Receita!$N$2:$N$225)</f>
        <v>0</v>
      </c>
      <c r="M4" s="13">
        <f>SUMIF(Mercado_Receita!$T$2:$T$225,"44562B1Energia horáriaResidencialResidencialNão se aplicaNão se aplicaPonta",Mercado_Receita!$N$2:$N$225)</f>
        <v>0</v>
      </c>
      <c r="N4" s="13">
        <f>SUMIF(Mercado_Receita!$T$2:$T$225,"44593B1Energia horáriaResidencialResidencialNão se aplicaNão se aplicaPonta",Mercado_Receita!$N$2:$N$225)</f>
        <v>0</v>
      </c>
      <c r="O4" s="13">
        <f>SUMIF(Mercado_Receita!$T$2:$T$225,"44621B1Energia horáriaResidencialResidencialNão se aplicaNão se aplicaPonta",Mercado_Receita!$N$2:$N$225)</f>
        <v>0</v>
      </c>
      <c r="P4" s="13">
        <f>SUMIF(Mercado_Receita!$T$2:$T$225,"44652B1Energia horáriaResidencialResidencialNão se aplicaNão se aplicaPonta",Mercado_Receita!$N$2:$N$225)</f>
        <v>0</v>
      </c>
      <c r="Q4" s="13">
        <f>SUMIF(Mercado_Receita!$T$2:$T$225,"44682B1Energia horáriaResidencialResidencialNão se aplicaNão se aplicaPonta",Mercado_Receita!$N$2:$N$225)</f>
        <v>0</v>
      </c>
      <c r="R4" s="13">
        <f>SUMIF(Mercado_Receita!$T$2:$T$225,"44713B1Energia horáriaResidencialResidencialNão se aplicaNão se aplicaPonta",Mercado_Receita!$N$2:$N$225)</f>
        <v>0</v>
      </c>
      <c r="S4" s="13">
        <f>SUMIF(Mercado_Receita!$T$2:$T$225,"44743B1Energia horáriaResidencialResidencialNão se aplicaNão se aplicaPonta",Mercado_Receita!$N$2:$N$225)</f>
        <v>0</v>
      </c>
      <c r="T4" s="13">
        <f>SUMIF(Mercado_Receita!$T$2:$T$225,"44774B1Energia horáriaResidencialResidencialNão se aplicaNão se aplicaPonta",Mercado_Receita!$N$2:$N$225)</f>
        <v>0</v>
      </c>
      <c r="U4" s="13">
        <f t="shared" si="0"/>
        <v>0</v>
      </c>
      <c r="V4" s="13"/>
      <c r="W4" s="13"/>
    </row>
    <row r="5" spans="1:30" ht="11.25" customHeight="1" x14ac:dyDescent="0.3">
      <c r="A5" s="77"/>
      <c r="B5" s="77"/>
      <c r="C5" s="77"/>
      <c r="D5" s="77"/>
      <c r="E5" s="77"/>
      <c r="F5" s="77"/>
      <c r="G5" s="13" t="s">
        <v>80</v>
      </c>
      <c r="H5" s="13" t="s">
        <v>68</v>
      </c>
      <c r="I5" s="13">
        <f>SUMIF(Mercado_Receita!$T$2:$T$225,"44440B1Energia horáriaResidencialResidencialNão se aplicaNão se aplicaIntermediário",Mercado_Receita!$N$2:$N$225)</f>
        <v>0</v>
      </c>
      <c r="J5" s="13">
        <f>SUMIF(Mercado_Receita!$T$2:$T$225,"44470B1Energia horáriaResidencialResidencialNão se aplicaNão se aplicaIntermediário",Mercado_Receita!$N$2:$N$225)</f>
        <v>0</v>
      </c>
      <c r="K5" s="13">
        <f>SUMIF(Mercado_Receita!$T$2:$T$225,"44501B1Energia horáriaResidencialResidencialNão se aplicaNão se aplicaIntermediário",Mercado_Receita!$N$2:$N$225)</f>
        <v>0</v>
      </c>
      <c r="L5" s="13">
        <f>SUMIF(Mercado_Receita!$T$2:$T$225,"44531B1Energia horáriaResidencialResidencialNão se aplicaNão se aplicaIntermediário",Mercado_Receita!$N$2:$N$225)</f>
        <v>0</v>
      </c>
      <c r="M5" s="13">
        <f>SUMIF(Mercado_Receita!$T$2:$T$225,"44562B1Energia horáriaResidencialResidencialNão se aplicaNão se aplicaIntermediário",Mercado_Receita!$N$2:$N$225)</f>
        <v>0</v>
      </c>
      <c r="N5" s="13">
        <f>SUMIF(Mercado_Receita!$T$2:$T$225,"44593B1Energia horáriaResidencialResidencialNão se aplicaNão se aplicaIntermediário",Mercado_Receita!$N$2:$N$225)</f>
        <v>0</v>
      </c>
      <c r="O5" s="13">
        <f>SUMIF(Mercado_Receita!$T$2:$T$225,"44621B1Energia horáriaResidencialResidencialNão se aplicaNão se aplicaIntermediário",Mercado_Receita!$N$2:$N$225)</f>
        <v>0</v>
      </c>
      <c r="P5" s="13">
        <f>SUMIF(Mercado_Receita!$T$2:$T$225,"44652B1Energia horáriaResidencialResidencialNão se aplicaNão se aplicaIntermediário",Mercado_Receita!$N$2:$N$225)</f>
        <v>0</v>
      </c>
      <c r="Q5" s="13">
        <f>SUMIF(Mercado_Receita!$T$2:$T$225,"44682B1Energia horáriaResidencialResidencialNão se aplicaNão se aplicaIntermediário",Mercado_Receita!$N$2:$N$225)</f>
        <v>0</v>
      </c>
      <c r="R5" s="13">
        <f>SUMIF(Mercado_Receita!$T$2:$T$225,"44713B1Energia horáriaResidencialResidencialNão se aplicaNão se aplicaIntermediário",Mercado_Receita!$N$2:$N$225)</f>
        <v>0</v>
      </c>
      <c r="S5" s="13">
        <f>SUMIF(Mercado_Receita!$T$2:$T$225,"44743B1Energia horáriaResidencialResidencialNão se aplicaNão se aplicaIntermediário",Mercado_Receita!$N$2:$N$225)</f>
        <v>0</v>
      </c>
      <c r="T5" s="13">
        <f>SUMIF(Mercado_Receita!$T$2:$T$225,"44774B1Energia horáriaResidencialResidencialNão se aplicaNão se aplicaIntermediário",Mercado_Receita!$N$2:$N$225)</f>
        <v>0</v>
      </c>
      <c r="U5" s="13">
        <f t="shared" si="0"/>
        <v>0</v>
      </c>
      <c r="V5" s="13"/>
      <c r="W5" s="13"/>
    </row>
    <row r="6" spans="1:30" ht="11.25" customHeight="1" x14ac:dyDescent="0.3">
      <c r="A6" s="77"/>
      <c r="B6" s="77"/>
      <c r="C6" s="77"/>
      <c r="D6" s="77"/>
      <c r="E6" s="77"/>
      <c r="F6" s="77"/>
      <c r="G6" s="13" t="s">
        <v>70</v>
      </c>
      <c r="H6" s="13" t="s">
        <v>68</v>
      </c>
      <c r="I6" s="13">
        <f>SUMIF(Mercado_Receita!$T$2:$T$225,"44440B1Energia horáriaResidencialResidencialNão se aplicaNão se aplicaFora ponta",Mercado_Receita!$N$2:$N$225)</f>
        <v>0</v>
      </c>
      <c r="J6" s="13">
        <f>SUMIF(Mercado_Receita!$T$2:$T$225,"44470B1Energia horáriaResidencialResidencialNão se aplicaNão se aplicaFora ponta",Mercado_Receita!$N$2:$N$225)</f>
        <v>0</v>
      </c>
      <c r="K6" s="13">
        <f>SUMIF(Mercado_Receita!$T$2:$T$225,"44501B1Energia horáriaResidencialResidencialNão se aplicaNão se aplicaFora ponta",Mercado_Receita!$N$2:$N$225)</f>
        <v>0</v>
      </c>
      <c r="L6" s="13">
        <f>SUMIF(Mercado_Receita!$T$2:$T$225,"44531B1Energia horáriaResidencialResidencialNão se aplicaNão se aplicaFora ponta",Mercado_Receita!$N$2:$N$225)</f>
        <v>0</v>
      </c>
      <c r="M6" s="13">
        <f>SUMIF(Mercado_Receita!$T$2:$T$225,"44562B1Energia horáriaResidencialResidencialNão se aplicaNão se aplicaFora ponta",Mercado_Receita!$N$2:$N$225)</f>
        <v>0</v>
      </c>
      <c r="N6" s="13">
        <f>SUMIF(Mercado_Receita!$T$2:$T$225,"44593B1Energia horáriaResidencialResidencialNão se aplicaNão se aplicaFora ponta",Mercado_Receita!$N$2:$N$225)</f>
        <v>0</v>
      </c>
      <c r="O6" s="13">
        <f>SUMIF(Mercado_Receita!$T$2:$T$225,"44621B1Energia horáriaResidencialResidencialNão se aplicaNão se aplicaFora ponta",Mercado_Receita!$N$2:$N$225)</f>
        <v>0</v>
      </c>
      <c r="P6" s="13">
        <f>SUMIF(Mercado_Receita!$T$2:$T$225,"44652B1Energia horáriaResidencialResidencialNão se aplicaNão se aplicaFora ponta",Mercado_Receita!$N$2:$N$225)</f>
        <v>0</v>
      </c>
      <c r="Q6" s="13">
        <f>SUMIF(Mercado_Receita!$T$2:$T$225,"44682B1Energia horáriaResidencialResidencialNão se aplicaNão se aplicaFora ponta",Mercado_Receita!$N$2:$N$225)</f>
        <v>0</v>
      </c>
      <c r="R6" s="13">
        <f>SUMIF(Mercado_Receita!$T$2:$T$225,"44713B1Energia horáriaResidencialResidencialNão se aplicaNão se aplicaFora ponta",Mercado_Receita!$N$2:$N$225)</f>
        <v>0</v>
      </c>
      <c r="S6" s="13">
        <f>SUMIF(Mercado_Receita!$T$2:$T$225,"44743B1Energia horáriaResidencialResidencialNão se aplicaNão se aplicaFora ponta",Mercado_Receita!$N$2:$N$225)</f>
        <v>0</v>
      </c>
      <c r="T6" s="13">
        <f>SUMIF(Mercado_Receita!$T$2:$T$225,"44774B1Energia horáriaResidencialResidencialNão se aplicaNão se aplicaFora ponta",Mercado_Receita!$N$2:$N$225)</f>
        <v>0</v>
      </c>
      <c r="U6" s="13">
        <f t="shared" si="0"/>
        <v>0</v>
      </c>
      <c r="V6" s="13"/>
      <c r="W6" s="13"/>
    </row>
    <row r="7" spans="1:30" ht="11.25" customHeight="1" x14ac:dyDescent="0.3">
      <c r="A7" s="77"/>
      <c r="B7" s="76" t="s">
        <v>81</v>
      </c>
      <c r="C7" s="76" t="s">
        <v>24</v>
      </c>
      <c r="D7" s="12" t="s">
        <v>24</v>
      </c>
      <c r="E7" s="12" t="s">
        <v>25</v>
      </c>
      <c r="F7" s="12" t="s">
        <v>25</v>
      </c>
      <c r="G7" s="13" t="s">
        <v>74</v>
      </c>
      <c r="H7" s="13" t="s">
        <v>68</v>
      </c>
      <c r="I7" s="13">
        <f>SUMIF(Mercado_Receita!$T$2:$T$225,"44440B1Energia convencionalResidencialResidencialNão se aplicaNão se aplicaNão se aplica",Mercado_Receita!$N$2:$N$225)</f>
        <v>38.773000000000003</v>
      </c>
      <c r="J7" s="13">
        <f>SUMIF(Mercado_Receita!$T$2:$T$225,"44470B1Energia convencionalResidencialResidencialNão se aplicaNão se aplicaNão se aplica",Mercado_Receita!$N$2:$N$225)</f>
        <v>37.901000000000003</v>
      </c>
      <c r="K7" s="13">
        <f>SUMIF(Mercado_Receita!$T$2:$T$225,"44501B1Energia convencionalResidencialResidencialNão se aplicaNão se aplicaNão se aplica",Mercado_Receita!$N$2:$N$225)</f>
        <v>35.085000000000001</v>
      </c>
      <c r="L7" s="13">
        <f>SUMIF(Mercado_Receita!$T$2:$T$225,"44531B1Energia convencionalResidencialResidencialNão se aplicaNão se aplicaNão se aplica",Mercado_Receita!$N$2:$N$225)</f>
        <v>33</v>
      </c>
      <c r="M7" s="13">
        <f>SUMIF(Mercado_Receita!$T$2:$T$225,"44562B1Energia convencionalResidencialResidencialNão se aplicaNão se aplicaNão se aplica",Mercado_Receita!$N$2:$N$225)</f>
        <v>41.52</v>
      </c>
      <c r="N7" s="13">
        <f>SUMIF(Mercado_Receita!$T$2:$T$225,"44593B1Energia convencionalResidencialResidencialNão se aplicaNão se aplicaNão se aplica",Mercado_Receita!$N$2:$N$225)</f>
        <v>35.936999999999998</v>
      </c>
      <c r="O7" s="13">
        <f>SUMIF(Mercado_Receita!$T$2:$T$225,"44621B1Energia convencionalResidencialResidencialNão se aplicaNão se aplicaNão se aplica",Mercado_Receita!$N$2:$N$225)</f>
        <v>34.384999999999998</v>
      </c>
      <c r="P7" s="13">
        <f>SUMIF(Mercado_Receita!$T$2:$T$225,"44652B1Energia convencionalResidencialResidencialNão se aplicaNão se aplicaNão se aplica",Mercado_Receita!$N$2:$N$225)</f>
        <v>32.024000000000001</v>
      </c>
      <c r="Q7" s="13">
        <f>SUMIF(Mercado_Receita!$T$2:$T$225,"44682B1Energia convencionalResidencialResidencialNão se aplicaNão se aplicaNão se aplica",Mercado_Receita!$N$2:$N$225)</f>
        <v>34.606999999999999</v>
      </c>
      <c r="R7" s="13">
        <f>SUMIF(Mercado_Receita!$T$2:$T$225,"44713B1Energia convencionalResidencialResidencialNão se aplicaNão se aplicaNão se aplica",Mercado_Receita!$N$2:$N$225)</f>
        <v>36.395000000000003</v>
      </c>
      <c r="S7" s="13">
        <f>SUMIF(Mercado_Receita!$T$2:$T$225,"44743B1Energia convencionalResidencialResidencialNão se aplicaNão se aplicaNão se aplica",Mercado_Receita!$N$2:$N$225)</f>
        <v>34.505000000000003</v>
      </c>
      <c r="T7" s="13">
        <f>SUMIF(Mercado_Receita!$T$2:$T$225,"44774B1Energia convencionalResidencialResidencialNão se aplicaNão se aplicaNão se aplica",Mercado_Receita!$N$2:$N$225)</f>
        <v>40.155999999999999</v>
      </c>
      <c r="U7" s="13">
        <f t="shared" si="0"/>
        <v>434.28799999999995</v>
      </c>
      <c r="V7" s="13"/>
      <c r="W7" s="13"/>
    </row>
    <row r="8" spans="1:30" ht="11.25" customHeight="1" x14ac:dyDescent="0.3">
      <c r="A8" s="77"/>
      <c r="B8" s="77"/>
      <c r="C8" s="77"/>
      <c r="D8" s="12" t="s">
        <v>27</v>
      </c>
      <c r="E8" s="12" t="s">
        <v>25</v>
      </c>
      <c r="F8" s="12" t="s">
        <v>25</v>
      </c>
      <c r="G8" s="13" t="s">
        <v>74</v>
      </c>
      <c r="H8" s="13" t="s">
        <v>68</v>
      </c>
      <c r="I8" s="13">
        <f>SUMIF(Mercado_Receita!$T$2:$T$225,"44440B1Energia convencionalResidencialResidencial baixa renda – faixa 01Não se aplicaNão se aplicaNão se aplica",Mercado_Receita!$N$2:$N$225)</f>
        <v>0.06</v>
      </c>
      <c r="J8" s="13">
        <f>SUMIF(Mercado_Receita!$T$2:$T$225,"44470B1Energia convencionalResidencialResidencial baixa renda – faixa 01Não se aplicaNão se aplicaNão se aplica",Mercado_Receita!$N$2:$N$225)</f>
        <v>0.06</v>
      </c>
      <c r="K8" s="13">
        <f>SUMIF(Mercado_Receita!$T$2:$T$225,"44501B1Energia convencionalResidencialResidencial baixa renda – faixa 01Não se aplicaNão se aplicaNão se aplica",Mercado_Receita!$N$2:$N$225)</f>
        <v>0.09</v>
      </c>
      <c r="L8" s="13">
        <f>SUMIF(Mercado_Receita!$T$2:$T$225,"44531B1Energia convencionalResidencialResidencial baixa renda – faixa 01Não se aplicaNão se aplicaNão se aplica",Mercado_Receita!$N$2:$N$225)</f>
        <v>0.09</v>
      </c>
      <c r="M8" s="13">
        <f>SUMIF(Mercado_Receita!$T$2:$T$225,"44562B1Energia convencionalResidencialResidencial baixa renda – faixa 01Não se aplicaNão se aplicaNão se aplica",Mercado_Receita!$N$2:$N$225)</f>
        <v>0.09</v>
      </c>
      <c r="N8" s="13">
        <f>SUMIF(Mercado_Receita!$T$2:$T$225,"44593B1Energia convencionalResidencialResidencial baixa renda – faixa 01Não se aplicaNão se aplicaNão se aplica",Mercado_Receita!$N$2:$N$225)</f>
        <v>0.18</v>
      </c>
      <c r="O8" s="13">
        <f>SUMIF(Mercado_Receita!$T$2:$T$225,"44621B1Energia convencionalResidencialResidencial baixa renda – faixa 01Não se aplicaNão se aplicaNão se aplica",Mercado_Receita!$N$2:$N$225)</f>
        <v>0.3</v>
      </c>
      <c r="P8" s="13">
        <f>SUMIF(Mercado_Receita!$T$2:$T$225,"44652B1Energia convencionalResidencialResidencial baixa renda – faixa 01Não se aplicaNão se aplicaNão se aplica",Mercado_Receita!$N$2:$N$225)</f>
        <v>0.3</v>
      </c>
      <c r="Q8" s="13">
        <f>SUMIF(Mercado_Receita!$T$2:$T$225,"44682B1Energia convencionalResidencialResidencial baixa renda – faixa 01Não se aplicaNão se aplicaNão se aplica",Mercado_Receita!$N$2:$N$225)</f>
        <v>0.3</v>
      </c>
      <c r="R8" s="13">
        <f>SUMIF(Mercado_Receita!$T$2:$T$225,"44713B1Energia convencionalResidencialResidencial baixa renda – faixa 01Não se aplicaNão se aplicaNão se aplica",Mercado_Receita!$N$2:$N$225)</f>
        <v>0.3</v>
      </c>
      <c r="S8" s="13">
        <f>SUMIF(Mercado_Receita!$T$2:$T$225,"44743B1Energia convencionalResidencialResidencial baixa renda – faixa 01Não se aplicaNão se aplicaNão se aplica",Mercado_Receita!$N$2:$N$225)</f>
        <v>0.3</v>
      </c>
      <c r="T8" s="13">
        <f>SUMIF(Mercado_Receita!$T$2:$T$225,"44774B1Energia convencionalResidencialResidencial baixa renda – faixa 01Não se aplicaNão se aplicaNão se aplica",Mercado_Receita!$N$2:$N$225)</f>
        <v>0.3</v>
      </c>
      <c r="U8" s="13">
        <f t="shared" si="0"/>
        <v>2.37</v>
      </c>
      <c r="V8" s="13"/>
      <c r="W8" s="13"/>
    </row>
    <row r="9" spans="1:30" ht="11.25" customHeight="1" x14ac:dyDescent="0.3">
      <c r="A9" s="77"/>
      <c r="B9" s="77"/>
      <c r="C9" s="77"/>
      <c r="D9" s="12" t="s">
        <v>28</v>
      </c>
      <c r="E9" s="12" t="s">
        <v>25</v>
      </c>
      <c r="F9" s="12" t="s">
        <v>25</v>
      </c>
      <c r="G9" s="13" t="s">
        <v>74</v>
      </c>
      <c r="H9" s="13" t="s">
        <v>68</v>
      </c>
      <c r="I9" s="13">
        <f>SUMIF(Mercado_Receita!$T$2:$T$225,"44440B1Energia convencionalResidencialResidencial baixa renda – faixa 02Não se aplicaNão se aplicaNão se aplica",Mercado_Receita!$N$2:$N$225)</f>
        <v>0.13200000000000001</v>
      </c>
      <c r="J9" s="13">
        <f>SUMIF(Mercado_Receita!$T$2:$T$225,"44470B1Energia convencionalResidencialResidencial baixa renda – faixa 02Não se aplicaNão se aplicaNão se aplica",Mercado_Receita!$N$2:$N$225)</f>
        <v>0.13300000000000001</v>
      </c>
      <c r="K9" s="13">
        <f>SUMIF(Mercado_Receita!$T$2:$T$225,"44501B1Energia convencionalResidencialResidencial baixa renda – faixa 02Não se aplicaNão se aplicaNão se aplica",Mercado_Receita!$N$2:$N$225)</f>
        <v>0.21</v>
      </c>
      <c r="L9" s="13">
        <f>SUMIF(Mercado_Receita!$T$2:$T$225,"44531B1Energia convencionalResidencialResidencial baixa renda – faixa 02Não se aplicaNão se aplicaNão se aplica",Mercado_Receita!$N$2:$N$225)</f>
        <v>0.21</v>
      </c>
      <c r="M9" s="13">
        <f>SUMIF(Mercado_Receita!$T$2:$T$225,"44562B1Energia convencionalResidencialResidencial baixa renda – faixa 02Não se aplicaNão se aplicaNão se aplica",Mercado_Receita!$N$2:$N$225)</f>
        <v>0.21</v>
      </c>
      <c r="N9" s="13">
        <f>SUMIF(Mercado_Receita!$T$2:$T$225,"44593B1Energia convencionalResidencialResidencial baixa renda – faixa 02Não se aplicaNão se aplicaNão se aplica",Mercado_Receita!$N$2:$N$225)</f>
        <v>0.42</v>
      </c>
      <c r="O9" s="13">
        <f>SUMIF(Mercado_Receita!$T$2:$T$225,"44621B1Energia convencionalResidencialResidencial baixa renda – faixa 02Não se aplicaNão se aplicaNão se aplica",Mercado_Receita!$N$2:$N$225)</f>
        <v>0.56100000000000005</v>
      </c>
      <c r="P9" s="13">
        <f>SUMIF(Mercado_Receita!$T$2:$T$225,"44652B1Energia convencionalResidencialResidencial baixa renda – faixa 02Não se aplicaNão se aplicaNão se aplica",Mercado_Receita!$N$2:$N$225)</f>
        <v>0.49199999999999999</v>
      </c>
      <c r="Q9" s="13">
        <f>SUMIF(Mercado_Receita!$T$2:$T$225,"44682B1Energia convencionalResidencialResidencial baixa renda – faixa 02Não se aplicaNão se aplicaNão se aplica",Mercado_Receita!$N$2:$N$225)</f>
        <v>0.495</v>
      </c>
      <c r="R9" s="13">
        <f>SUMIF(Mercado_Receita!$T$2:$T$225,"44713B1Energia convencionalResidencialResidencial baixa renda – faixa 02Não se aplicaNão se aplicaNão se aplica",Mercado_Receita!$N$2:$N$225)</f>
        <v>0.48099999999999998</v>
      </c>
      <c r="S9" s="13">
        <f>SUMIF(Mercado_Receita!$T$2:$T$225,"44743B1Energia convencionalResidencialResidencial baixa renda – faixa 02Não se aplicaNão se aplicaNão se aplica",Mercado_Receita!$N$2:$N$225)</f>
        <v>0.48899999999999999</v>
      </c>
      <c r="T9" s="13">
        <f>SUMIF(Mercado_Receita!$T$2:$T$225,"44774B1Energia convencionalResidencialResidencial baixa renda – faixa 02Não se aplicaNão se aplicaNão se aplica",Mercado_Receita!$N$2:$N$225)</f>
        <v>0.49399999999999999</v>
      </c>
      <c r="U9" s="13">
        <f t="shared" si="0"/>
        <v>4.327</v>
      </c>
      <c r="V9" s="13"/>
      <c r="W9" s="13"/>
    </row>
    <row r="10" spans="1:30" ht="11.25" customHeight="1" x14ac:dyDescent="0.3">
      <c r="A10" s="77"/>
      <c r="B10" s="77"/>
      <c r="C10" s="77"/>
      <c r="D10" s="12" t="s">
        <v>29</v>
      </c>
      <c r="E10" s="12" t="s">
        <v>25</v>
      </c>
      <c r="F10" s="12" t="s">
        <v>25</v>
      </c>
      <c r="G10" s="13" t="s">
        <v>74</v>
      </c>
      <c r="H10" s="13" t="s">
        <v>68</v>
      </c>
      <c r="I10" s="13">
        <f>SUMIF(Mercado_Receita!$T$2:$T$225,"44440B1Energia convencionalResidencialResidencial baixa renda – faixa 03Não se aplicaNão se aplicaNão se aplica",Mercado_Receita!$N$2:$N$225)</f>
        <v>0.12</v>
      </c>
      <c r="J10" s="13">
        <f>SUMIF(Mercado_Receita!$T$2:$T$225,"44470B1Energia convencionalResidencialResidencial baixa renda – faixa 03Não se aplicaNão se aplicaNão se aplica",Mercado_Receita!$N$2:$N$225)</f>
        <v>0.106</v>
      </c>
      <c r="K10" s="13">
        <f>SUMIF(Mercado_Receita!$T$2:$T$225,"44501B1Energia convencionalResidencialResidencial baixa renda – faixa 03Não se aplicaNão se aplicaNão se aplica",Mercado_Receita!$N$2:$N$225)</f>
        <v>0.215</v>
      </c>
      <c r="L10" s="13">
        <f>SUMIF(Mercado_Receita!$T$2:$T$225,"44531B1Energia convencionalResidencialResidencial baixa renda – faixa 03Não se aplicaNão se aplicaNão se aplica",Mercado_Receita!$N$2:$N$225)</f>
        <v>0.215</v>
      </c>
      <c r="M10" s="13">
        <f>SUMIF(Mercado_Receita!$T$2:$T$225,"44562B1Energia convencionalResidencialResidencial baixa renda – faixa 03Não se aplicaNão se aplicaNão se aplica",Mercado_Receita!$N$2:$N$225)</f>
        <v>0.29799999999999999</v>
      </c>
      <c r="N10" s="13">
        <f>SUMIF(Mercado_Receita!$T$2:$T$225,"44593B1Energia convencionalResidencialResidencial baixa renda – faixa 03Não se aplicaNão se aplicaNão se aplica",Mercado_Receita!$N$2:$N$225)</f>
        <v>0.56499999999999995</v>
      </c>
      <c r="O10" s="13">
        <f>SUMIF(Mercado_Receita!$T$2:$T$225,"44621B1Energia convencionalResidencialResidencial baixa renda – faixa 03Não se aplicaNão se aplicaNão se aplica",Mercado_Receita!$N$2:$N$225)</f>
        <v>0.77600000000000002</v>
      </c>
      <c r="P10" s="13">
        <f>SUMIF(Mercado_Receita!$T$2:$T$225,"44652B1Energia convencionalResidencialResidencial baixa renda – faixa 03Não se aplicaNão se aplicaNão se aplica",Mercado_Receita!$N$2:$N$225)</f>
        <v>0.66600000000000004</v>
      </c>
      <c r="Q10" s="13">
        <f>SUMIF(Mercado_Receita!$T$2:$T$225,"44682B1Energia convencionalResidencialResidencial baixa renda – faixa 03Não se aplicaNão se aplicaNão se aplica",Mercado_Receita!$N$2:$N$225)</f>
        <v>0.71099999999999997</v>
      </c>
      <c r="R10" s="13">
        <f>SUMIF(Mercado_Receita!$T$2:$T$225,"44713B1Energia convencionalResidencialResidencial baixa renda – faixa 03Não se aplicaNão se aplicaNão se aplica",Mercado_Receita!$N$2:$N$225)</f>
        <v>0.69599999999999995</v>
      </c>
      <c r="S10" s="13">
        <f>SUMIF(Mercado_Receita!$T$2:$T$225,"44743B1Energia convencionalResidencialResidencial baixa renda – faixa 03Não se aplicaNão se aplicaNão se aplica",Mercado_Receita!$N$2:$N$225)</f>
        <v>0.7</v>
      </c>
      <c r="T10" s="13">
        <f>SUMIF(Mercado_Receita!$T$2:$T$225,"44774B1Energia convencionalResidencialResidencial baixa renda – faixa 03Não se aplicaNão se aplicaNão se aplica",Mercado_Receita!$N$2:$N$225)</f>
        <v>0.72499999999999998</v>
      </c>
      <c r="U10" s="13">
        <f t="shared" si="0"/>
        <v>5.7929999999999993</v>
      </c>
      <c r="V10" s="13"/>
      <c r="W10" s="13"/>
    </row>
    <row r="11" spans="1:30" ht="11.25" customHeight="1" x14ac:dyDescent="0.3">
      <c r="A11" s="77"/>
      <c r="B11" s="77"/>
      <c r="C11" s="77"/>
      <c r="D11" s="12" t="s">
        <v>30</v>
      </c>
      <c r="E11" s="12" t="s">
        <v>25</v>
      </c>
      <c r="F11" s="12" t="s">
        <v>25</v>
      </c>
      <c r="G11" s="13" t="s">
        <v>74</v>
      </c>
      <c r="H11" s="13" t="s">
        <v>68</v>
      </c>
      <c r="I11" s="13">
        <f>SUMIF(Mercado_Receita!$T$2:$T$225,"44440B1Energia convencionalResidencialResidencial baixa renda – faixa 04Não se aplicaNão se aplicaNão se aplica",Mercado_Receita!$N$2:$N$225)</f>
        <v>6.0000000000000001E-3</v>
      </c>
      <c r="J11" s="13">
        <f>SUMIF(Mercado_Receita!$T$2:$T$225,"44470B1Energia convencionalResidencialResidencial baixa renda – faixa 04Não se aplicaNão se aplicaNão se aplica",Mercado_Receita!$N$2:$N$225)</f>
        <v>0</v>
      </c>
      <c r="K11" s="13">
        <f>SUMIF(Mercado_Receita!$T$2:$T$225,"44501B1Energia convencionalResidencialResidencial baixa renda – faixa 04Não se aplicaNão se aplicaNão se aplica",Mercado_Receita!$N$2:$N$225)</f>
        <v>0</v>
      </c>
      <c r="L11" s="13">
        <f>SUMIF(Mercado_Receita!$T$2:$T$225,"44531B1Energia convencionalResidencialResidencial baixa renda – faixa 04Não se aplicaNão se aplicaNão se aplica",Mercado_Receita!$N$2:$N$225)</f>
        <v>1.2999999999999999E-2</v>
      </c>
      <c r="M11" s="13">
        <f>SUMIF(Mercado_Receita!$T$2:$T$225,"44562B1Energia convencionalResidencialResidencial baixa renda – faixa 04Não se aplicaNão se aplicaNão se aplica",Mercado_Receita!$N$2:$N$225)</f>
        <v>5.6000000000000001E-2</v>
      </c>
      <c r="N11" s="13">
        <f>SUMIF(Mercado_Receita!$T$2:$T$225,"44593B1Energia convencionalResidencialResidencial baixa renda – faixa 04Não se aplicaNão se aplicaNão se aplica",Mercado_Receita!$N$2:$N$225)</f>
        <v>0.249</v>
      </c>
      <c r="O11" s="13">
        <f>SUMIF(Mercado_Receita!$T$2:$T$225,"44621B1Energia convencionalResidencialResidencial baixa renda – faixa 04Não se aplicaNão se aplicaNão se aplica",Mercado_Receita!$N$2:$N$225)</f>
        <v>0.17799999999999999</v>
      </c>
      <c r="P11" s="13">
        <f>SUMIF(Mercado_Receita!$T$2:$T$225,"44652B1Energia convencionalResidencialResidencial baixa renda – faixa 04Não se aplicaNão se aplicaNão se aplica",Mercado_Receita!$N$2:$N$225)</f>
        <v>0.13900000000000001</v>
      </c>
      <c r="Q11" s="13">
        <f>SUMIF(Mercado_Receita!$T$2:$T$225,"44682B1Energia convencionalResidencialResidencial baixa renda – faixa 04Não se aplicaNão se aplicaNão se aplica",Mercado_Receita!$N$2:$N$225)</f>
        <v>0.20200000000000001</v>
      </c>
      <c r="R11" s="13">
        <f>SUMIF(Mercado_Receita!$T$2:$T$225,"44713B1Energia convencionalResidencialResidencial baixa renda – faixa 04Não se aplicaNão se aplicaNão se aplica",Mercado_Receita!$N$2:$N$225)</f>
        <v>0.62</v>
      </c>
      <c r="S11" s="13">
        <f>SUMIF(Mercado_Receita!$T$2:$T$225,"44743B1Energia convencionalResidencialResidencial baixa renda – faixa 04Não se aplicaNão se aplicaNão se aplica",Mercado_Receita!$N$2:$N$225)</f>
        <v>0.21</v>
      </c>
      <c r="T11" s="13">
        <f>SUMIF(Mercado_Receita!$T$2:$T$225,"44774B1Energia convencionalResidencialResidencial baixa renda – faixa 04Não se aplicaNão se aplicaNão se aplica",Mercado_Receita!$N$2:$N$225)</f>
        <v>0.42599999999999999</v>
      </c>
      <c r="U11" s="13">
        <f t="shared" si="0"/>
        <v>2.0990000000000002</v>
      </c>
      <c r="V11" s="13"/>
      <c r="W11" s="13"/>
    </row>
    <row r="12" spans="1:30" ht="11.25" customHeight="1" x14ac:dyDescent="0.3">
      <c r="A12" s="77"/>
      <c r="B12" s="76" t="s">
        <v>83</v>
      </c>
      <c r="C12" s="76" t="s">
        <v>24</v>
      </c>
      <c r="D12" s="12" t="s">
        <v>24</v>
      </c>
      <c r="E12" s="12" t="s">
        <v>25</v>
      </c>
      <c r="F12" s="12" t="s">
        <v>25</v>
      </c>
      <c r="G12" s="13" t="s">
        <v>74</v>
      </c>
      <c r="H12" s="13" t="s">
        <v>68</v>
      </c>
      <c r="I12" s="13">
        <f>SUMIF(Mercado_Receita!$T$2:$T$225,"44440B1Energia convencional pré-pagamentoResidencialResidencialNão se aplicaNão se aplicaNão se aplica",Mercado_Receita!$N$2:$N$225)</f>
        <v>0</v>
      </c>
      <c r="J12" s="13">
        <f>SUMIF(Mercado_Receita!$T$2:$T$225,"44470B1Energia convencional pré-pagamentoResidencialResidencialNão se aplicaNão se aplicaNão se aplica",Mercado_Receita!$N$2:$N$225)</f>
        <v>0</v>
      </c>
      <c r="K12" s="13">
        <f>SUMIF(Mercado_Receita!$T$2:$T$225,"44501B1Energia convencional pré-pagamentoResidencialResidencialNão se aplicaNão se aplicaNão se aplica",Mercado_Receita!$N$2:$N$225)</f>
        <v>0</v>
      </c>
      <c r="L12" s="13">
        <f>SUMIF(Mercado_Receita!$T$2:$T$225,"44531B1Energia convencional pré-pagamentoResidencialResidencialNão se aplicaNão se aplicaNão se aplica",Mercado_Receita!$N$2:$N$225)</f>
        <v>0</v>
      </c>
      <c r="M12" s="13">
        <f>SUMIF(Mercado_Receita!$T$2:$T$225,"44562B1Energia convencional pré-pagamentoResidencialResidencialNão se aplicaNão se aplicaNão se aplica",Mercado_Receita!$N$2:$N$225)</f>
        <v>0</v>
      </c>
      <c r="N12" s="13">
        <f>SUMIF(Mercado_Receita!$T$2:$T$225,"44593B1Energia convencional pré-pagamentoResidencialResidencialNão se aplicaNão se aplicaNão se aplica",Mercado_Receita!$N$2:$N$225)</f>
        <v>0</v>
      </c>
      <c r="O12" s="13">
        <f>SUMIF(Mercado_Receita!$T$2:$T$225,"44621B1Energia convencional pré-pagamentoResidencialResidencialNão se aplicaNão se aplicaNão se aplica",Mercado_Receita!$N$2:$N$225)</f>
        <v>0</v>
      </c>
      <c r="P12" s="13">
        <f>SUMIF(Mercado_Receita!$T$2:$T$225,"44652B1Energia convencional pré-pagamentoResidencialResidencialNão se aplicaNão se aplicaNão se aplica",Mercado_Receita!$N$2:$N$225)</f>
        <v>0</v>
      </c>
      <c r="Q12" s="13">
        <f>SUMIF(Mercado_Receita!$T$2:$T$225,"44682B1Energia convencional pré-pagamentoResidencialResidencialNão se aplicaNão se aplicaNão se aplica",Mercado_Receita!$N$2:$N$225)</f>
        <v>0</v>
      </c>
      <c r="R12" s="13">
        <f>SUMIF(Mercado_Receita!$T$2:$T$225,"44713B1Energia convencional pré-pagamentoResidencialResidencialNão se aplicaNão se aplicaNão se aplica",Mercado_Receita!$N$2:$N$225)</f>
        <v>0</v>
      </c>
      <c r="S12" s="13">
        <f>SUMIF(Mercado_Receita!$T$2:$T$225,"44743B1Energia convencional pré-pagamentoResidencialResidencialNão se aplicaNão se aplicaNão se aplica",Mercado_Receita!$N$2:$N$225)</f>
        <v>0</v>
      </c>
      <c r="T12" s="13">
        <f>SUMIF(Mercado_Receita!$T$2:$T$225,"44774B1Energia convencional pré-pagamentoResidencialResidencialNão se aplicaNão se aplicaNão se aplica",Mercado_Receita!$N$2:$N$225)</f>
        <v>0</v>
      </c>
      <c r="U12" s="13">
        <f t="shared" si="0"/>
        <v>0</v>
      </c>
      <c r="V12" s="13"/>
      <c r="W12" s="13"/>
    </row>
    <row r="13" spans="1:30" ht="11.25" customHeight="1" x14ac:dyDescent="0.3">
      <c r="A13" s="77"/>
      <c r="B13" s="77"/>
      <c r="C13" s="77"/>
      <c r="D13" s="12" t="s">
        <v>27</v>
      </c>
      <c r="E13" s="12" t="s">
        <v>25</v>
      </c>
      <c r="F13" s="12" t="s">
        <v>25</v>
      </c>
      <c r="G13" s="13" t="s">
        <v>74</v>
      </c>
      <c r="H13" s="13" t="s">
        <v>68</v>
      </c>
      <c r="I13" s="13">
        <f>SUMIF(Mercado_Receita!$T$2:$T$225,"44440B1Energia convencional pré-pagamentoResidencialResidencial baixa renda – faixa 01Não se aplicaNão se aplicaNão se aplica",Mercado_Receita!$N$2:$N$225)</f>
        <v>0</v>
      </c>
      <c r="J13" s="13">
        <f>SUMIF(Mercado_Receita!$T$2:$T$225,"44470B1Energia convencional pré-pagamentoResidencialResidencial baixa renda – faixa 01Não se aplicaNão se aplicaNão se aplica",Mercado_Receita!$N$2:$N$225)</f>
        <v>0</v>
      </c>
      <c r="K13" s="13">
        <f>SUMIF(Mercado_Receita!$T$2:$T$225,"44501B1Energia convencional pré-pagamentoResidencialResidencial baixa renda – faixa 01Não se aplicaNão se aplicaNão se aplica",Mercado_Receita!$N$2:$N$225)</f>
        <v>0</v>
      </c>
      <c r="L13" s="13">
        <f>SUMIF(Mercado_Receita!$T$2:$T$225,"44531B1Energia convencional pré-pagamentoResidencialResidencial baixa renda – faixa 01Não se aplicaNão se aplicaNão se aplica",Mercado_Receita!$N$2:$N$225)</f>
        <v>0</v>
      </c>
      <c r="M13" s="13">
        <f>SUMIF(Mercado_Receita!$T$2:$T$225,"44562B1Energia convencional pré-pagamentoResidencialResidencial baixa renda – faixa 01Não se aplicaNão se aplicaNão se aplica",Mercado_Receita!$N$2:$N$225)</f>
        <v>0</v>
      </c>
      <c r="N13" s="13">
        <f>SUMIF(Mercado_Receita!$T$2:$T$225,"44593B1Energia convencional pré-pagamentoResidencialResidencial baixa renda – faixa 01Não se aplicaNão se aplicaNão se aplica",Mercado_Receita!$N$2:$N$225)</f>
        <v>0</v>
      </c>
      <c r="O13" s="13">
        <f>SUMIF(Mercado_Receita!$T$2:$T$225,"44621B1Energia convencional pré-pagamentoResidencialResidencial baixa renda – faixa 01Não se aplicaNão se aplicaNão se aplica",Mercado_Receita!$N$2:$N$225)</f>
        <v>0</v>
      </c>
      <c r="P13" s="13">
        <f>SUMIF(Mercado_Receita!$T$2:$T$225,"44652B1Energia convencional pré-pagamentoResidencialResidencial baixa renda – faixa 01Não se aplicaNão se aplicaNão se aplica",Mercado_Receita!$N$2:$N$225)</f>
        <v>0</v>
      </c>
      <c r="Q13" s="13">
        <f>SUMIF(Mercado_Receita!$T$2:$T$225,"44682B1Energia convencional pré-pagamentoResidencialResidencial baixa renda – faixa 01Não se aplicaNão se aplicaNão se aplica",Mercado_Receita!$N$2:$N$225)</f>
        <v>0</v>
      </c>
      <c r="R13" s="13">
        <f>SUMIF(Mercado_Receita!$T$2:$T$225,"44713B1Energia convencional pré-pagamentoResidencialResidencial baixa renda – faixa 01Não se aplicaNão se aplicaNão se aplica",Mercado_Receita!$N$2:$N$225)</f>
        <v>0</v>
      </c>
      <c r="S13" s="13">
        <f>SUMIF(Mercado_Receita!$T$2:$T$225,"44743B1Energia convencional pré-pagamentoResidencialResidencial baixa renda – faixa 01Não se aplicaNão se aplicaNão se aplica",Mercado_Receita!$N$2:$N$225)</f>
        <v>0</v>
      </c>
      <c r="T13" s="13">
        <f>SUMIF(Mercado_Receita!$T$2:$T$225,"44774B1Energia convencional pré-pagamentoResidencialResidencial baixa renda – faixa 01Não se aplicaNão se aplicaNão se aplica",Mercado_Receita!$N$2:$N$225)</f>
        <v>0</v>
      </c>
      <c r="U13" s="13">
        <f t="shared" si="0"/>
        <v>0</v>
      </c>
      <c r="V13" s="13"/>
      <c r="W13" s="13"/>
    </row>
    <row r="14" spans="1:30" ht="11.25" customHeight="1" x14ac:dyDescent="0.3">
      <c r="A14" s="77"/>
      <c r="B14" s="77"/>
      <c r="C14" s="77"/>
      <c r="D14" s="12" t="s">
        <v>28</v>
      </c>
      <c r="E14" s="12" t="s">
        <v>25</v>
      </c>
      <c r="F14" s="12" t="s">
        <v>25</v>
      </c>
      <c r="G14" s="13" t="s">
        <v>74</v>
      </c>
      <c r="H14" s="13" t="s">
        <v>68</v>
      </c>
      <c r="I14" s="13">
        <f>SUMIF(Mercado_Receita!$T$2:$T$225,"44440B1Energia convencional pré-pagamentoResidencialResidencial baixa renda – faixa 02Não se aplicaNão se aplicaNão se aplica",Mercado_Receita!$N$2:$N$225)</f>
        <v>0</v>
      </c>
      <c r="J14" s="13">
        <f>SUMIF(Mercado_Receita!$T$2:$T$225,"44470B1Energia convencional pré-pagamentoResidencialResidencial baixa renda – faixa 02Não se aplicaNão se aplicaNão se aplica",Mercado_Receita!$N$2:$N$225)</f>
        <v>0</v>
      </c>
      <c r="K14" s="13">
        <f>SUMIF(Mercado_Receita!$T$2:$T$225,"44501B1Energia convencional pré-pagamentoResidencialResidencial baixa renda – faixa 02Não se aplicaNão se aplicaNão se aplica",Mercado_Receita!$N$2:$N$225)</f>
        <v>0</v>
      </c>
      <c r="L14" s="13">
        <f>SUMIF(Mercado_Receita!$T$2:$T$225,"44531B1Energia convencional pré-pagamentoResidencialResidencial baixa renda – faixa 02Não se aplicaNão se aplicaNão se aplica",Mercado_Receita!$N$2:$N$225)</f>
        <v>0</v>
      </c>
      <c r="M14" s="13">
        <f>SUMIF(Mercado_Receita!$T$2:$T$225,"44562B1Energia convencional pré-pagamentoResidencialResidencial baixa renda – faixa 02Não se aplicaNão se aplicaNão se aplica",Mercado_Receita!$N$2:$N$225)</f>
        <v>0</v>
      </c>
      <c r="N14" s="13">
        <f>SUMIF(Mercado_Receita!$T$2:$T$225,"44593B1Energia convencional pré-pagamentoResidencialResidencial baixa renda – faixa 02Não se aplicaNão se aplicaNão se aplica",Mercado_Receita!$N$2:$N$225)</f>
        <v>0</v>
      </c>
      <c r="O14" s="13">
        <f>SUMIF(Mercado_Receita!$T$2:$T$225,"44621B1Energia convencional pré-pagamentoResidencialResidencial baixa renda – faixa 02Não se aplicaNão se aplicaNão se aplica",Mercado_Receita!$N$2:$N$225)</f>
        <v>0</v>
      </c>
      <c r="P14" s="13">
        <f>SUMIF(Mercado_Receita!$T$2:$T$225,"44652B1Energia convencional pré-pagamentoResidencialResidencial baixa renda – faixa 02Não se aplicaNão se aplicaNão se aplica",Mercado_Receita!$N$2:$N$225)</f>
        <v>0</v>
      </c>
      <c r="Q14" s="13">
        <f>SUMIF(Mercado_Receita!$T$2:$T$225,"44682B1Energia convencional pré-pagamentoResidencialResidencial baixa renda – faixa 02Não se aplicaNão se aplicaNão se aplica",Mercado_Receita!$N$2:$N$225)</f>
        <v>0</v>
      </c>
      <c r="R14" s="13">
        <f>SUMIF(Mercado_Receita!$T$2:$T$225,"44713B1Energia convencional pré-pagamentoResidencialResidencial baixa renda – faixa 02Não se aplicaNão se aplicaNão se aplica",Mercado_Receita!$N$2:$N$225)</f>
        <v>0</v>
      </c>
      <c r="S14" s="13">
        <f>SUMIF(Mercado_Receita!$T$2:$T$225,"44743B1Energia convencional pré-pagamentoResidencialResidencial baixa renda – faixa 02Não se aplicaNão se aplicaNão se aplica",Mercado_Receita!$N$2:$N$225)</f>
        <v>0</v>
      </c>
      <c r="T14" s="13">
        <f>SUMIF(Mercado_Receita!$T$2:$T$225,"44774B1Energia convencional pré-pagamentoResidencialResidencial baixa renda – faixa 02Não se aplicaNão se aplicaNão se aplica",Mercado_Receita!$N$2:$N$225)</f>
        <v>0</v>
      </c>
      <c r="U14" s="13">
        <f t="shared" si="0"/>
        <v>0</v>
      </c>
      <c r="V14" s="13"/>
      <c r="W14" s="13"/>
    </row>
    <row r="15" spans="1:30" ht="11.25" customHeight="1" x14ac:dyDescent="0.3">
      <c r="A15" s="77"/>
      <c r="B15" s="77"/>
      <c r="C15" s="77"/>
      <c r="D15" s="12" t="s">
        <v>29</v>
      </c>
      <c r="E15" s="12" t="s">
        <v>25</v>
      </c>
      <c r="F15" s="12" t="s">
        <v>25</v>
      </c>
      <c r="G15" s="13" t="s">
        <v>74</v>
      </c>
      <c r="H15" s="13" t="s">
        <v>68</v>
      </c>
      <c r="I15" s="13">
        <f>SUMIF(Mercado_Receita!$T$2:$T$225,"44440B1Energia convencional pré-pagamentoResidencialResidencial baixa renda – faixa 03Não se aplicaNão se aplicaNão se aplica",Mercado_Receita!$N$2:$N$225)</f>
        <v>0</v>
      </c>
      <c r="J15" s="13">
        <f>SUMIF(Mercado_Receita!$T$2:$T$225,"44470B1Energia convencional pré-pagamentoResidencialResidencial baixa renda – faixa 03Não se aplicaNão se aplicaNão se aplica",Mercado_Receita!$N$2:$N$225)</f>
        <v>0</v>
      </c>
      <c r="K15" s="13">
        <f>SUMIF(Mercado_Receita!$T$2:$T$225,"44501B1Energia convencional pré-pagamentoResidencialResidencial baixa renda – faixa 03Não se aplicaNão se aplicaNão se aplica",Mercado_Receita!$N$2:$N$225)</f>
        <v>0</v>
      </c>
      <c r="L15" s="13">
        <f>SUMIF(Mercado_Receita!$T$2:$T$225,"44531B1Energia convencional pré-pagamentoResidencialResidencial baixa renda – faixa 03Não se aplicaNão se aplicaNão se aplica",Mercado_Receita!$N$2:$N$225)</f>
        <v>0</v>
      </c>
      <c r="M15" s="13">
        <f>SUMIF(Mercado_Receita!$T$2:$T$225,"44562B1Energia convencional pré-pagamentoResidencialResidencial baixa renda – faixa 03Não se aplicaNão se aplicaNão se aplica",Mercado_Receita!$N$2:$N$225)</f>
        <v>0</v>
      </c>
      <c r="N15" s="13">
        <f>SUMIF(Mercado_Receita!$T$2:$T$225,"44593B1Energia convencional pré-pagamentoResidencialResidencial baixa renda – faixa 03Não se aplicaNão se aplicaNão se aplica",Mercado_Receita!$N$2:$N$225)</f>
        <v>0</v>
      </c>
      <c r="O15" s="13">
        <f>SUMIF(Mercado_Receita!$T$2:$T$225,"44621B1Energia convencional pré-pagamentoResidencialResidencial baixa renda – faixa 03Não se aplicaNão se aplicaNão se aplica",Mercado_Receita!$N$2:$N$225)</f>
        <v>0</v>
      </c>
      <c r="P15" s="13">
        <f>SUMIF(Mercado_Receita!$T$2:$T$225,"44652B1Energia convencional pré-pagamentoResidencialResidencial baixa renda – faixa 03Não se aplicaNão se aplicaNão se aplica",Mercado_Receita!$N$2:$N$225)</f>
        <v>0</v>
      </c>
      <c r="Q15" s="13">
        <f>SUMIF(Mercado_Receita!$T$2:$T$225,"44682B1Energia convencional pré-pagamentoResidencialResidencial baixa renda – faixa 03Não se aplicaNão se aplicaNão se aplica",Mercado_Receita!$N$2:$N$225)</f>
        <v>0</v>
      </c>
      <c r="R15" s="13">
        <f>SUMIF(Mercado_Receita!$T$2:$T$225,"44713B1Energia convencional pré-pagamentoResidencialResidencial baixa renda – faixa 03Não se aplicaNão se aplicaNão se aplica",Mercado_Receita!$N$2:$N$225)</f>
        <v>0</v>
      </c>
      <c r="S15" s="13">
        <f>SUMIF(Mercado_Receita!$T$2:$T$225,"44743B1Energia convencional pré-pagamentoResidencialResidencial baixa renda – faixa 03Não se aplicaNão se aplicaNão se aplica",Mercado_Receita!$N$2:$N$225)</f>
        <v>0</v>
      </c>
      <c r="T15" s="13">
        <f>SUMIF(Mercado_Receita!$T$2:$T$225,"44774B1Energia convencional pré-pagamentoResidencialResidencial baixa renda – faixa 03Não se aplicaNão se aplicaNão se aplica",Mercado_Receita!$N$2:$N$225)</f>
        <v>0</v>
      </c>
      <c r="U15" s="13">
        <f t="shared" si="0"/>
        <v>0</v>
      </c>
      <c r="V15" s="13"/>
      <c r="W15" s="13"/>
    </row>
    <row r="16" spans="1:30" ht="11.25" customHeight="1" x14ac:dyDescent="0.3">
      <c r="A16" s="77"/>
      <c r="B16" s="77"/>
      <c r="C16" s="77"/>
      <c r="D16" s="12" t="s">
        <v>30</v>
      </c>
      <c r="E16" s="12" t="s">
        <v>25</v>
      </c>
      <c r="F16" s="12" t="s">
        <v>25</v>
      </c>
      <c r="G16" s="13" t="s">
        <v>74</v>
      </c>
      <c r="H16" s="13" t="s">
        <v>68</v>
      </c>
      <c r="I16" s="13">
        <f>SUMIF(Mercado_Receita!$T$2:$T$225,"44440B1Energia convencional pré-pagamentoResidencialResidencial baixa renda – faixa 04Não se aplicaNão se aplicaNão se aplica",Mercado_Receita!$N$2:$N$225)</f>
        <v>0</v>
      </c>
      <c r="J16" s="13">
        <f>SUMIF(Mercado_Receita!$T$2:$T$225,"44470B1Energia convencional pré-pagamentoResidencialResidencial baixa renda – faixa 04Não se aplicaNão se aplicaNão se aplica",Mercado_Receita!$N$2:$N$225)</f>
        <v>0</v>
      </c>
      <c r="K16" s="13">
        <f>SUMIF(Mercado_Receita!$T$2:$T$225,"44501B1Energia convencional pré-pagamentoResidencialResidencial baixa renda – faixa 04Não se aplicaNão se aplicaNão se aplica",Mercado_Receita!$N$2:$N$225)</f>
        <v>0</v>
      </c>
      <c r="L16" s="13">
        <f>SUMIF(Mercado_Receita!$T$2:$T$225,"44531B1Energia convencional pré-pagamentoResidencialResidencial baixa renda – faixa 04Não se aplicaNão se aplicaNão se aplica",Mercado_Receita!$N$2:$N$225)</f>
        <v>0</v>
      </c>
      <c r="M16" s="13">
        <f>SUMIF(Mercado_Receita!$T$2:$T$225,"44562B1Energia convencional pré-pagamentoResidencialResidencial baixa renda – faixa 04Não se aplicaNão se aplicaNão se aplica",Mercado_Receita!$N$2:$N$225)</f>
        <v>0</v>
      </c>
      <c r="N16" s="13">
        <f>SUMIF(Mercado_Receita!$T$2:$T$225,"44593B1Energia convencional pré-pagamentoResidencialResidencial baixa renda – faixa 04Não se aplicaNão se aplicaNão se aplica",Mercado_Receita!$N$2:$N$225)</f>
        <v>0</v>
      </c>
      <c r="O16" s="13">
        <f>SUMIF(Mercado_Receita!$T$2:$T$225,"44621B1Energia convencional pré-pagamentoResidencialResidencial baixa renda – faixa 04Não se aplicaNão se aplicaNão se aplica",Mercado_Receita!$N$2:$N$225)</f>
        <v>0</v>
      </c>
      <c r="P16" s="13">
        <f>SUMIF(Mercado_Receita!$T$2:$T$225,"44652B1Energia convencional pré-pagamentoResidencialResidencial baixa renda – faixa 04Não se aplicaNão se aplicaNão se aplica",Mercado_Receita!$N$2:$N$225)</f>
        <v>0</v>
      </c>
      <c r="Q16" s="13">
        <f>SUMIF(Mercado_Receita!$T$2:$T$225,"44682B1Energia convencional pré-pagamentoResidencialResidencial baixa renda – faixa 04Não se aplicaNão se aplicaNão se aplica",Mercado_Receita!$N$2:$N$225)</f>
        <v>0</v>
      </c>
      <c r="R16" s="13">
        <f>SUMIF(Mercado_Receita!$T$2:$T$225,"44713B1Energia convencional pré-pagamentoResidencialResidencial baixa renda – faixa 04Não se aplicaNão se aplicaNão se aplica",Mercado_Receita!$N$2:$N$225)</f>
        <v>0</v>
      </c>
      <c r="S16" s="13">
        <f>SUMIF(Mercado_Receita!$T$2:$T$225,"44743B1Energia convencional pré-pagamentoResidencialResidencial baixa renda – faixa 04Não se aplicaNão se aplicaNão se aplica",Mercado_Receita!$N$2:$N$225)</f>
        <v>0</v>
      </c>
      <c r="T16" s="13">
        <f>SUMIF(Mercado_Receita!$T$2:$T$225,"44774B1Energia convencional pré-pagamentoResidencialResidencial baixa renda – faixa 04Não se aplicaNão se aplicaNão se aplica",Mercado_Receita!$N$2:$N$225)</f>
        <v>0</v>
      </c>
      <c r="U16" s="13">
        <f t="shared" si="0"/>
        <v>0</v>
      </c>
      <c r="V16" s="13"/>
      <c r="W16" s="13"/>
    </row>
    <row r="17" spans="1:23" ht="11.25" customHeight="1" x14ac:dyDescent="0.3">
      <c r="A17" s="76" t="s">
        <v>39</v>
      </c>
      <c r="B17" s="76" t="s">
        <v>67</v>
      </c>
      <c r="C17" s="76" t="s">
        <v>40</v>
      </c>
      <c r="D17" s="76" t="s">
        <v>25</v>
      </c>
      <c r="E17" s="76" t="s">
        <v>25</v>
      </c>
      <c r="F17" s="76" t="s">
        <v>25</v>
      </c>
      <c r="G17" s="13" t="s">
        <v>69</v>
      </c>
      <c r="H17" s="13" t="s">
        <v>68</v>
      </c>
      <c r="I17" s="13">
        <f>SUMIF(Mercado_Receita!$T$2:$T$225,"44440B2Energia horáriaRuralNão se aplicaNão se aplicaNão se aplicaPonta",Mercado_Receita!$N$2:$N$225)</f>
        <v>0</v>
      </c>
      <c r="J17" s="13">
        <f>SUMIF(Mercado_Receita!$T$2:$T$225,"44470B2Energia horáriaRuralNão se aplicaNão se aplicaNão se aplicaPonta",Mercado_Receita!$N$2:$N$225)</f>
        <v>0</v>
      </c>
      <c r="K17" s="13">
        <f>SUMIF(Mercado_Receita!$T$2:$T$225,"44501B2Energia horáriaRuralNão se aplicaNão se aplicaNão se aplicaPonta",Mercado_Receita!$N$2:$N$225)</f>
        <v>0</v>
      </c>
      <c r="L17" s="13">
        <f>SUMIF(Mercado_Receita!$T$2:$T$225,"44531B2Energia horáriaRuralNão se aplicaNão se aplicaNão se aplicaPonta",Mercado_Receita!$N$2:$N$225)</f>
        <v>0</v>
      </c>
      <c r="M17" s="13">
        <f>SUMIF(Mercado_Receita!$T$2:$T$225,"44562B2Energia horáriaRuralNão se aplicaNão se aplicaNão se aplicaPonta",Mercado_Receita!$N$2:$N$225)</f>
        <v>0</v>
      </c>
      <c r="N17" s="13">
        <f>SUMIF(Mercado_Receita!$T$2:$T$225,"44593B2Energia horáriaRuralNão se aplicaNão se aplicaNão se aplicaPonta",Mercado_Receita!$N$2:$N$225)</f>
        <v>0</v>
      </c>
      <c r="O17" s="13">
        <f>SUMIF(Mercado_Receita!$T$2:$T$225,"44621B2Energia horáriaRuralNão se aplicaNão se aplicaNão se aplicaPonta",Mercado_Receita!$N$2:$N$225)</f>
        <v>0</v>
      </c>
      <c r="P17" s="13">
        <f>SUMIF(Mercado_Receita!$T$2:$T$225,"44652B2Energia horáriaRuralNão se aplicaNão se aplicaNão se aplicaPonta",Mercado_Receita!$N$2:$N$225)</f>
        <v>0</v>
      </c>
      <c r="Q17" s="13">
        <f>SUMIF(Mercado_Receita!$T$2:$T$225,"44682B2Energia horáriaRuralNão se aplicaNão se aplicaNão se aplicaPonta",Mercado_Receita!$N$2:$N$225)</f>
        <v>0</v>
      </c>
      <c r="R17" s="13">
        <f>SUMIF(Mercado_Receita!$T$2:$T$225,"44713B2Energia horáriaRuralNão se aplicaNão se aplicaNão se aplicaPonta",Mercado_Receita!$N$2:$N$225)</f>
        <v>0</v>
      </c>
      <c r="S17" s="13">
        <f>SUMIF(Mercado_Receita!$T$2:$T$225,"44743B2Energia horáriaRuralNão se aplicaNão se aplicaNão se aplicaPonta",Mercado_Receita!$N$2:$N$225)</f>
        <v>0</v>
      </c>
      <c r="T17" s="13">
        <f>SUMIF(Mercado_Receita!$T$2:$T$225,"44774B2Energia horáriaRuralNão se aplicaNão se aplicaNão se aplicaPonta",Mercado_Receita!$N$2:$N$225)</f>
        <v>0</v>
      </c>
      <c r="U17" s="13">
        <f t="shared" si="0"/>
        <v>0</v>
      </c>
      <c r="V17" s="13"/>
      <c r="W17" s="13"/>
    </row>
    <row r="18" spans="1:23" ht="11.25" customHeight="1" x14ac:dyDescent="0.3">
      <c r="A18" s="77"/>
      <c r="B18" s="77"/>
      <c r="C18" s="77"/>
      <c r="D18" s="77"/>
      <c r="E18" s="77"/>
      <c r="F18" s="77"/>
      <c r="G18" s="13" t="s">
        <v>80</v>
      </c>
      <c r="H18" s="13" t="s">
        <v>68</v>
      </c>
      <c r="I18" s="13">
        <f>SUMIF(Mercado_Receita!$T$2:$T$225,"44440B2Energia horáriaRuralNão se aplicaNão se aplicaNão se aplicaIntermediário",Mercado_Receita!$N$2:$N$225)</f>
        <v>0</v>
      </c>
      <c r="J18" s="13">
        <f>SUMIF(Mercado_Receita!$T$2:$T$225,"44470B2Energia horáriaRuralNão se aplicaNão se aplicaNão se aplicaIntermediário",Mercado_Receita!$N$2:$N$225)</f>
        <v>0</v>
      </c>
      <c r="K18" s="13">
        <f>SUMIF(Mercado_Receita!$T$2:$T$225,"44501B2Energia horáriaRuralNão se aplicaNão se aplicaNão se aplicaIntermediário",Mercado_Receita!$N$2:$N$225)</f>
        <v>0</v>
      </c>
      <c r="L18" s="13">
        <f>SUMIF(Mercado_Receita!$T$2:$T$225,"44531B2Energia horáriaRuralNão se aplicaNão se aplicaNão se aplicaIntermediário",Mercado_Receita!$N$2:$N$225)</f>
        <v>0</v>
      </c>
      <c r="M18" s="13">
        <f>SUMIF(Mercado_Receita!$T$2:$T$225,"44562B2Energia horáriaRuralNão se aplicaNão se aplicaNão se aplicaIntermediário",Mercado_Receita!$N$2:$N$225)</f>
        <v>0</v>
      </c>
      <c r="N18" s="13">
        <f>SUMIF(Mercado_Receita!$T$2:$T$225,"44593B2Energia horáriaRuralNão se aplicaNão se aplicaNão se aplicaIntermediário",Mercado_Receita!$N$2:$N$225)</f>
        <v>0</v>
      </c>
      <c r="O18" s="13">
        <f>SUMIF(Mercado_Receita!$T$2:$T$225,"44621B2Energia horáriaRuralNão se aplicaNão se aplicaNão se aplicaIntermediário",Mercado_Receita!$N$2:$N$225)</f>
        <v>0</v>
      </c>
      <c r="P18" s="13">
        <f>SUMIF(Mercado_Receita!$T$2:$T$225,"44652B2Energia horáriaRuralNão se aplicaNão se aplicaNão se aplicaIntermediário",Mercado_Receita!$N$2:$N$225)</f>
        <v>0</v>
      </c>
      <c r="Q18" s="13">
        <f>SUMIF(Mercado_Receita!$T$2:$T$225,"44682B2Energia horáriaRuralNão se aplicaNão se aplicaNão se aplicaIntermediário",Mercado_Receita!$N$2:$N$225)</f>
        <v>0</v>
      </c>
      <c r="R18" s="13">
        <f>SUMIF(Mercado_Receita!$T$2:$T$225,"44713B2Energia horáriaRuralNão se aplicaNão se aplicaNão se aplicaIntermediário",Mercado_Receita!$N$2:$N$225)</f>
        <v>0</v>
      </c>
      <c r="S18" s="13">
        <f>SUMIF(Mercado_Receita!$T$2:$T$225,"44743B2Energia horáriaRuralNão se aplicaNão se aplicaNão se aplicaIntermediário",Mercado_Receita!$N$2:$N$225)</f>
        <v>0</v>
      </c>
      <c r="T18" s="13">
        <f>SUMIF(Mercado_Receita!$T$2:$T$225,"44774B2Energia horáriaRuralNão se aplicaNão se aplicaNão se aplicaIntermediário",Mercado_Receita!$N$2:$N$225)</f>
        <v>0</v>
      </c>
      <c r="U18" s="13">
        <f t="shared" si="0"/>
        <v>0</v>
      </c>
      <c r="V18" s="13"/>
      <c r="W18" s="13"/>
    </row>
    <row r="19" spans="1:23" ht="11.25" customHeight="1" x14ac:dyDescent="0.3">
      <c r="A19" s="77"/>
      <c r="B19" s="77"/>
      <c r="C19" s="77"/>
      <c r="D19" s="77"/>
      <c r="E19" s="77"/>
      <c r="F19" s="77"/>
      <c r="G19" s="13" t="s">
        <v>70</v>
      </c>
      <c r="H19" s="13" t="s">
        <v>68</v>
      </c>
      <c r="I19" s="13">
        <f>SUMIF(Mercado_Receita!$T$2:$T$225,"44440B2Energia horáriaRuralNão se aplicaNão se aplicaNão se aplicaFora ponta",Mercado_Receita!$N$2:$N$225)</f>
        <v>0</v>
      </c>
      <c r="J19" s="13">
        <f>SUMIF(Mercado_Receita!$T$2:$T$225,"44470B2Energia horáriaRuralNão se aplicaNão se aplicaNão se aplicaFora ponta",Mercado_Receita!$N$2:$N$225)</f>
        <v>0</v>
      </c>
      <c r="K19" s="13">
        <f>SUMIF(Mercado_Receita!$T$2:$T$225,"44501B2Energia horáriaRuralNão se aplicaNão se aplicaNão se aplicaFora ponta",Mercado_Receita!$N$2:$N$225)</f>
        <v>0</v>
      </c>
      <c r="L19" s="13">
        <f>SUMIF(Mercado_Receita!$T$2:$T$225,"44531B2Energia horáriaRuralNão se aplicaNão se aplicaNão se aplicaFora ponta",Mercado_Receita!$N$2:$N$225)</f>
        <v>0</v>
      </c>
      <c r="M19" s="13">
        <f>SUMIF(Mercado_Receita!$T$2:$T$225,"44562B2Energia horáriaRuralNão se aplicaNão se aplicaNão se aplicaFora ponta",Mercado_Receita!$N$2:$N$225)</f>
        <v>0</v>
      </c>
      <c r="N19" s="13">
        <f>SUMIF(Mercado_Receita!$T$2:$T$225,"44593B2Energia horáriaRuralNão se aplicaNão se aplicaNão se aplicaFora ponta",Mercado_Receita!$N$2:$N$225)</f>
        <v>0</v>
      </c>
      <c r="O19" s="13">
        <f>SUMIF(Mercado_Receita!$T$2:$T$225,"44621B2Energia horáriaRuralNão se aplicaNão se aplicaNão se aplicaFora ponta",Mercado_Receita!$N$2:$N$225)</f>
        <v>0</v>
      </c>
      <c r="P19" s="13">
        <f>SUMIF(Mercado_Receita!$T$2:$T$225,"44652B2Energia horáriaRuralNão se aplicaNão se aplicaNão se aplicaFora ponta",Mercado_Receita!$N$2:$N$225)</f>
        <v>0</v>
      </c>
      <c r="Q19" s="13">
        <f>SUMIF(Mercado_Receita!$T$2:$T$225,"44682B2Energia horáriaRuralNão se aplicaNão se aplicaNão se aplicaFora ponta",Mercado_Receita!$N$2:$N$225)</f>
        <v>0</v>
      </c>
      <c r="R19" s="13">
        <f>SUMIF(Mercado_Receita!$T$2:$T$225,"44713B2Energia horáriaRuralNão se aplicaNão se aplicaNão se aplicaFora ponta",Mercado_Receita!$N$2:$N$225)</f>
        <v>0</v>
      </c>
      <c r="S19" s="13">
        <f>SUMIF(Mercado_Receita!$T$2:$T$225,"44743B2Energia horáriaRuralNão se aplicaNão se aplicaNão se aplicaFora ponta",Mercado_Receita!$N$2:$N$225)</f>
        <v>0</v>
      </c>
      <c r="T19" s="13">
        <f>SUMIF(Mercado_Receita!$T$2:$T$225,"44774B2Energia horáriaRuralNão se aplicaNão se aplicaNão se aplicaFora ponta",Mercado_Receita!$N$2:$N$225)</f>
        <v>0</v>
      </c>
      <c r="U19" s="13">
        <f t="shared" si="0"/>
        <v>0</v>
      </c>
      <c r="V19" s="13"/>
      <c r="W19" s="13"/>
    </row>
    <row r="20" spans="1:23" ht="11.25" customHeight="1" x14ac:dyDescent="0.3">
      <c r="A20" s="77"/>
      <c r="B20" s="12" t="s">
        <v>81</v>
      </c>
      <c r="C20" s="12" t="s">
        <v>40</v>
      </c>
      <c r="D20" s="12" t="s">
        <v>25</v>
      </c>
      <c r="E20" s="12" t="s">
        <v>25</v>
      </c>
      <c r="F20" s="12" t="s">
        <v>25</v>
      </c>
      <c r="G20" s="13" t="s">
        <v>74</v>
      </c>
      <c r="H20" s="13" t="s">
        <v>68</v>
      </c>
      <c r="I20" s="13">
        <f>SUMIF(Mercado_Receita!$T$2:$T$225,"44440B2Energia convencionalRuralNão se aplicaNão se aplicaNão se aplicaNão se aplica",Mercado_Receita!$N$2:$N$225)</f>
        <v>452.40800000000002</v>
      </c>
      <c r="J20" s="13">
        <f>SUMIF(Mercado_Receita!$T$2:$T$225,"44470B2Energia convencionalRuralNão se aplicaNão se aplicaNão se aplicaNão se aplica",Mercado_Receita!$N$2:$N$225)</f>
        <v>461.31400000000002</v>
      </c>
      <c r="K20" s="13">
        <f>SUMIF(Mercado_Receita!$T$2:$T$225,"44501B2Energia convencionalRuralNão se aplicaNão se aplicaNão se aplicaNão se aplica",Mercado_Receita!$N$2:$N$225)</f>
        <v>554.74200000000008</v>
      </c>
      <c r="L20" s="13">
        <f>SUMIF(Mercado_Receita!$T$2:$T$225,"44531B2Energia convencionalRuralNão se aplicaNão se aplicaNão se aplicaNão se aplica",Mercado_Receita!$N$2:$N$225)</f>
        <v>494.56100000000004</v>
      </c>
      <c r="M20" s="13">
        <f>SUMIF(Mercado_Receita!$T$2:$T$225,"44562B2Energia convencionalRuralNão se aplicaNão se aplicaNão se aplicaNão se aplica",Mercado_Receita!$N$2:$N$225)</f>
        <v>571.404</v>
      </c>
      <c r="N20" s="13">
        <f>SUMIF(Mercado_Receita!$T$2:$T$225,"44593B2Energia convencionalRuralNão se aplicaNão se aplicaNão se aplicaNão se aplica",Mercado_Receita!$N$2:$N$225)</f>
        <v>473.19900000000007</v>
      </c>
      <c r="O20" s="13">
        <f>SUMIF(Mercado_Receita!$T$2:$T$225,"44621B2Energia convencionalRuralNão se aplicaNão se aplicaNão se aplicaNão se aplica",Mercado_Receita!$N$2:$N$225)</f>
        <v>481.07500000000005</v>
      </c>
      <c r="P20" s="13">
        <f>SUMIF(Mercado_Receita!$T$2:$T$225,"44652B2Energia convencionalRuralNão se aplicaNão se aplicaNão se aplicaNão se aplica",Mercado_Receita!$N$2:$N$225)</f>
        <v>443.35400000000004</v>
      </c>
      <c r="Q20" s="13">
        <f>SUMIF(Mercado_Receita!$T$2:$T$225,"44682B2Energia convencionalRuralNão se aplicaNão se aplicaNão se aplicaNão se aplica",Mercado_Receita!$N$2:$N$225)</f>
        <v>454.54500000000002</v>
      </c>
      <c r="R20" s="13">
        <f>SUMIF(Mercado_Receita!$T$2:$T$225,"44713B2Energia convencionalRuralNão se aplicaNão se aplicaNão se aplicaNão se aplica",Mercado_Receita!$N$2:$N$225)</f>
        <v>436.846</v>
      </c>
      <c r="S20" s="13">
        <f>SUMIF(Mercado_Receita!$T$2:$T$225,"44743B2Energia convencionalRuralNão se aplicaNão se aplicaNão se aplicaNão se aplica",Mercado_Receita!$N$2:$N$225)</f>
        <v>445.43399999999997</v>
      </c>
      <c r="T20" s="13">
        <f>SUMIF(Mercado_Receita!$T$2:$T$225,"44774B2Energia convencionalRuralNão se aplicaNão se aplicaNão se aplicaNão se aplica",Mercado_Receita!$N$2:$N$225)</f>
        <v>464.18900000000002</v>
      </c>
      <c r="U20" s="13">
        <f t="shared" si="0"/>
        <v>5733.0710000000008</v>
      </c>
      <c r="V20" s="13"/>
      <c r="W20" s="13"/>
    </row>
    <row r="21" spans="1:23" ht="11.25" customHeight="1" x14ac:dyDescent="0.3">
      <c r="A21" s="77"/>
      <c r="B21" s="76" t="s">
        <v>67</v>
      </c>
      <c r="C21" s="76" t="s">
        <v>40</v>
      </c>
      <c r="D21" s="76" t="s">
        <v>85</v>
      </c>
      <c r="E21" s="76" t="s">
        <v>25</v>
      </c>
      <c r="F21" s="76" t="s">
        <v>25</v>
      </c>
      <c r="G21" s="13" t="s">
        <v>69</v>
      </c>
      <c r="H21" s="13" t="s">
        <v>68</v>
      </c>
      <c r="I21" s="13">
        <f>SUMIF(Mercado_Receita!$T$2:$T$225,"44440B2Energia horáriaRuralCooperativa de eletrificação ruralNão se aplicaNão se aplicaPonta",Mercado_Receita!$N$2:$N$225)</f>
        <v>0</v>
      </c>
      <c r="J21" s="13">
        <f>SUMIF(Mercado_Receita!$T$2:$T$225,"44470B2Energia horáriaRuralCooperativa de eletrificação ruralNão se aplicaNão se aplicaPonta",Mercado_Receita!$N$2:$N$225)</f>
        <v>0</v>
      </c>
      <c r="K21" s="13">
        <f>SUMIF(Mercado_Receita!$T$2:$T$225,"44501B2Energia horáriaRuralCooperativa de eletrificação ruralNão se aplicaNão se aplicaPonta",Mercado_Receita!$N$2:$N$225)</f>
        <v>0</v>
      </c>
      <c r="L21" s="13">
        <f>SUMIF(Mercado_Receita!$T$2:$T$225,"44531B2Energia horáriaRuralCooperativa de eletrificação ruralNão se aplicaNão se aplicaPonta",Mercado_Receita!$N$2:$N$225)</f>
        <v>0</v>
      </c>
      <c r="M21" s="13">
        <f>SUMIF(Mercado_Receita!$T$2:$T$225,"44562B2Energia horáriaRuralCooperativa de eletrificação ruralNão se aplicaNão se aplicaPonta",Mercado_Receita!$N$2:$N$225)</f>
        <v>0</v>
      </c>
      <c r="N21" s="13">
        <f>SUMIF(Mercado_Receita!$T$2:$T$225,"44593B2Energia horáriaRuralCooperativa de eletrificação ruralNão se aplicaNão se aplicaPonta",Mercado_Receita!$N$2:$N$225)</f>
        <v>0</v>
      </c>
      <c r="O21" s="13">
        <f>SUMIF(Mercado_Receita!$T$2:$T$225,"44621B2Energia horáriaRuralCooperativa de eletrificação ruralNão se aplicaNão se aplicaPonta",Mercado_Receita!$N$2:$N$225)</f>
        <v>0</v>
      </c>
      <c r="P21" s="13">
        <f>SUMIF(Mercado_Receita!$T$2:$T$225,"44652B2Energia horáriaRuralCooperativa de eletrificação ruralNão se aplicaNão se aplicaPonta",Mercado_Receita!$N$2:$N$225)</f>
        <v>0</v>
      </c>
      <c r="Q21" s="13">
        <f>SUMIF(Mercado_Receita!$T$2:$T$225,"44682B2Energia horáriaRuralCooperativa de eletrificação ruralNão se aplicaNão se aplicaPonta",Mercado_Receita!$N$2:$N$225)</f>
        <v>0</v>
      </c>
      <c r="R21" s="13">
        <f>SUMIF(Mercado_Receita!$T$2:$T$225,"44713B2Energia horáriaRuralCooperativa de eletrificação ruralNão se aplicaNão se aplicaPonta",Mercado_Receita!$N$2:$N$225)</f>
        <v>0</v>
      </c>
      <c r="S21" s="13">
        <f>SUMIF(Mercado_Receita!$T$2:$T$225,"44743B2Energia horáriaRuralCooperativa de eletrificação ruralNão se aplicaNão se aplicaPonta",Mercado_Receita!$N$2:$N$225)</f>
        <v>0</v>
      </c>
      <c r="T21" s="13">
        <f>SUMIF(Mercado_Receita!$T$2:$T$225,"44774B2Energia horáriaRuralCooperativa de eletrificação ruralNão se aplicaNão se aplicaPonta",Mercado_Receita!$N$2:$N$225)</f>
        <v>0</v>
      </c>
      <c r="U21" s="13">
        <f t="shared" si="0"/>
        <v>0</v>
      </c>
      <c r="V21" s="13"/>
      <c r="W21" s="13"/>
    </row>
    <row r="22" spans="1:23" ht="11.25" customHeight="1" x14ac:dyDescent="0.3">
      <c r="A22" s="77"/>
      <c r="B22" s="77"/>
      <c r="C22" s="77"/>
      <c r="D22" s="77"/>
      <c r="E22" s="77"/>
      <c r="F22" s="77"/>
      <c r="G22" s="13" t="s">
        <v>80</v>
      </c>
      <c r="H22" s="13" t="s">
        <v>68</v>
      </c>
      <c r="I22" s="13">
        <f>SUMIF(Mercado_Receita!$T$2:$T$225,"44440B2Energia horáriaRuralCooperativa de eletrificação ruralNão se aplicaNão se aplicaIntermediário",Mercado_Receita!$N$2:$N$225)</f>
        <v>0</v>
      </c>
      <c r="J22" s="13">
        <f>SUMIF(Mercado_Receita!$T$2:$T$225,"44470B2Energia horáriaRuralCooperativa de eletrificação ruralNão se aplicaNão se aplicaIntermediário",Mercado_Receita!$N$2:$N$225)</f>
        <v>0</v>
      </c>
      <c r="K22" s="13">
        <f>SUMIF(Mercado_Receita!$T$2:$T$225,"44501B2Energia horáriaRuralCooperativa de eletrificação ruralNão se aplicaNão se aplicaIntermediário",Mercado_Receita!$N$2:$N$225)</f>
        <v>0</v>
      </c>
      <c r="L22" s="13">
        <f>SUMIF(Mercado_Receita!$T$2:$T$225,"44531B2Energia horáriaRuralCooperativa de eletrificação ruralNão se aplicaNão se aplicaIntermediário",Mercado_Receita!$N$2:$N$225)</f>
        <v>0</v>
      </c>
      <c r="M22" s="13">
        <f>SUMIF(Mercado_Receita!$T$2:$T$225,"44562B2Energia horáriaRuralCooperativa de eletrificação ruralNão se aplicaNão se aplicaIntermediário",Mercado_Receita!$N$2:$N$225)</f>
        <v>0</v>
      </c>
      <c r="N22" s="13">
        <f>SUMIF(Mercado_Receita!$T$2:$T$225,"44593B2Energia horáriaRuralCooperativa de eletrificação ruralNão se aplicaNão se aplicaIntermediário",Mercado_Receita!$N$2:$N$225)</f>
        <v>0</v>
      </c>
      <c r="O22" s="13">
        <f>SUMIF(Mercado_Receita!$T$2:$T$225,"44621B2Energia horáriaRuralCooperativa de eletrificação ruralNão se aplicaNão se aplicaIntermediário",Mercado_Receita!$N$2:$N$225)</f>
        <v>0</v>
      </c>
      <c r="P22" s="13">
        <f>SUMIF(Mercado_Receita!$T$2:$T$225,"44652B2Energia horáriaRuralCooperativa de eletrificação ruralNão se aplicaNão se aplicaIntermediário",Mercado_Receita!$N$2:$N$225)</f>
        <v>0</v>
      </c>
      <c r="Q22" s="13">
        <f>SUMIF(Mercado_Receita!$T$2:$T$225,"44682B2Energia horáriaRuralCooperativa de eletrificação ruralNão se aplicaNão se aplicaIntermediário",Mercado_Receita!$N$2:$N$225)</f>
        <v>0</v>
      </c>
      <c r="R22" s="13">
        <f>SUMIF(Mercado_Receita!$T$2:$T$225,"44713B2Energia horáriaRuralCooperativa de eletrificação ruralNão se aplicaNão se aplicaIntermediário",Mercado_Receita!$N$2:$N$225)</f>
        <v>0</v>
      </c>
      <c r="S22" s="13">
        <f>SUMIF(Mercado_Receita!$T$2:$T$225,"44743B2Energia horáriaRuralCooperativa de eletrificação ruralNão se aplicaNão se aplicaIntermediário",Mercado_Receita!$N$2:$N$225)</f>
        <v>0</v>
      </c>
      <c r="T22" s="13">
        <f>SUMIF(Mercado_Receita!$T$2:$T$225,"44774B2Energia horáriaRuralCooperativa de eletrificação ruralNão se aplicaNão se aplicaIntermediário",Mercado_Receita!$N$2:$N$225)</f>
        <v>0</v>
      </c>
      <c r="U22" s="13">
        <f t="shared" si="0"/>
        <v>0</v>
      </c>
      <c r="V22" s="13"/>
      <c r="W22" s="13"/>
    </row>
    <row r="23" spans="1:23" ht="11.25" customHeight="1" x14ac:dyDescent="0.3">
      <c r="A23" s="77"/>
      <c r="B23" s="77"/>
      <c r="C23" s="77"/>
      <c r="D23" s="77"/>
      <c r="E23" s="77"/>
      <c r="F23" s="77"/>
      <c r="G23" s="13" t="s">
        <v>70</v>
      </c>
      <c r="H23" s="13" t="s">
        <v>68</v>
      </c>
      <c r="I23" s="13">
        <f>SUMIF(Mercado_Receita!$T$2:$T$225,"44440B2Energia horáriaRuralCooperativa de eletrificação ruralNão se aplicaNão se aplicaFora ponta",Mercado_Receita!$N$2:$N$225)</f>
        <v>0</v>
      </c>
      <c r="J23" s="13">
        <f>SUMIF(Mercado_Receita!$T$2:$T$225,"44470B2Energia horáriaRuralCooperativa de eletrificação ruralNão se aplicaNão se aplicaFora ponta",Mercado_Receita!$N$2:$N$225)</f>
        <v>0</v>
      </c>
      <c r="K23" s="13">
        <f>SUMIF(Mercado_Receita!$T$2:$T$225,"44501B2Energia horáriaRuralCooperativa de eletrificação ruralNão se aplicaNão se aplicaFora ponta",Mercado_Receita!$N$2:$N$225)</f>
        <v>0</v>
      </c>
      <c r="L23" s="13">
        <f>SUMIF(Mercado_Receita!$T$2:$T$225,"44531B2Energia horáriaRuralCooperativa de eletrificação ruralNão se aplicaNão se aplicaFora ponta",Mercado_Receita!$N$2:$N$225)</f>
        <v>0</v>
      </c>
      <c r="M23" s="13">
        <f>SUMIF(Mercado_Receita!$T$2:$T$225,"44562B2Energia horáriaRuralCooperativa de eletrificação ruralNão se aplicaNão se aplicaFora ponta",Mercado_Receita!$N$2:$N$225)</f>
        <v>0</v>
      </c>
      <c r="N23" s="13">
        <f>SUMIF(Mercado_Receita!$T$2:$T$225,"44593B2Energia horáriaRuralCooperativa de eletrificação ruralNão se aplicaNão se aplicaFora ponta",Mercado_Receita!$N$2:$N$225)</f>
        <v>0</v>
      </c>
      <c r="O23" s="13">
        <f>SUMIF(Mercado_Receita!$T$2:$T$225,"44621B2Energia horáriaRuralCooperativa de eletrificação ruralNão se aplicaNão se aplicaFora ponta",Mercado_Receita!$N$2:$N$225)</f>
        <v>0</v>
      </c>
      <c r="P23" s="13">
        <f>SUMIF(Mercado_Receita!$T$2:$T$225,"44652B2Energia horáriaRuralCooperativa de eletrificação ruralNão se aplicaNão se aplicaFora ponta",Mercado_Receita!$N$2:$N$225)</f>
        <v>0</v>
      </c>
      <c r="Q23" s="13">
        <f>SUMIF(Mercado_Receita!$T$2:$T$225,"44682B2Energia horáriaRuralCooperativa de eletrificação ruralNão se aplicaNão se aplicaFora ponta",Mercado_Receita!$N$2:$N$225)</f>
        <v>0</v>
      </c>
      <c r="R23" s="13">
        <f>SUMIF(Mercado_Receita!$T$2:$T$225,"44713B2Energia horáriaRuralCooperativa de eletrificação ruralNão se aplicaNão se aplicaFora ponta",Mercado_Receita!$N$2:$N$225)</f>
        <v>0</v>
      </c>
      <c r="S23" s="13">
        <f>SUMIF(Mercado_Receita!$T$2:$T$225,"44743B2Energia horáriaRuralCooperativa de eletrificação ruralNão se aplicaNão se aplicaFora ponta",Mercado_Receita!$N$2:$N$225)</f>
        <v>0</v>
      </c>
      <c r="T23" s="13">
        <f>SUMIF(Mercado_Receita!$T$2:$T$225,"44774B2Energia horáriaRuralCooperativa de eletrificação ruralNão se aplicaNão se aplicaFora ponta",Mercado_Receita!$N$2:$N$225)</f>
        <v>0</v>
      </c>
      <c r="U23" s="13">
        <f t="shared" si="0"/>
        <v>0</v>
      </c>
      <c r="V23" s="13"/>
      <c r="W23" s="13"/>
    </row>
    <row r="24" spans="1:23" ht="11.25" customHeight="1" x14ac:dyDescent="0.3">
      <c r="A24" s="77"/>
      <c r="B24" s="12" t="s">
        <v>81</v>
      </c>
      <c r="C24" s="12" t="s">
        <v>40</v>
      </c>
      <c r="D24" s="12" t="s">
        <v>85</v>
      </c>
      <c r="E24" s="12" t="s">
        <v>25</v>
      </c>
      <c r="F24" s="12" t="s">
        <v>25</v>
      </c>
      <c r="G24" s="13" t="s">
        <v>74</v>
      </c>
      <c r="H24" s="13" t="s">
        <v>68</v>
      </c>
      <c r="I24" s="13">
        <f>SUMIF(Mercado_Receita!$T$2:$T$225,"44440B2Energia convencionalRuralCooperativa de eletrificação ruralNão se aplicaNão se aplicaNão se aplica",Mercado_Receita!$N$2:$N$225)</f>
        <v>0</v>
      </c>
      <c r="J24" s="13">
        <f>SUMIF(Mercado_Receita!$T$2:$T$225,"44470B2Energia convencionalRuralCooperativa de eletrificação ruralNão se aplicaNão se aplicaNão se aplica",Mercado_Receita!$N$2:$N$225)</f>
        <v>0</v>
      </c>
      <c r="K24" s="13">
        <f>SUMIF(Mercado_Receita!$T$2:$T$225,"44501B2Energia convencionalRuralCooperativa de eletrificação ruralNão se aplicaNão se aplicaNão se aplica",Mercado_Receita!$N$2:$N$225)</f>
        <v>0</v>
      </c>
      <c r="L24" s="13">
        <f>SUMIF(Mercado_Receita!$T$2:$T$225,"44531B2Energia convencionalRuralCooperativa de eletrificação ruralNão se aplicaNão se aplicaNão se aplica",Mercado_Receita!$N$2:$N$225)</f>
        <v>0</v>
      </c>
      <c r="M24" s="13">
        <f>SUMIF(Mercado_Receita!$T$2:$T$225,"44562B2Energia convencionalRuralCooperativa de eletrificação ruralNão se aplicaNão se aplicaNão se aplica",Mercado_Receita!$N$2:$N$225)</f>
        <v>0</v>
      </c>
      <c r="N24" s="13">
        <f>SUMIF(Mercado_Receita!$T$2:$T$225,"44593B2Energia convencionalRuralCooperativa de eletrificação ruralNão se aplicaNão se aplicaNão se aplica",Mercado_Receita!$N$2:$N$225)</f>
        <v>0</v>
      </c>
      <c r="O24" s="13">
        <f>SUMIF(Mercado_Receita!$T$2:$T$225,"44621B2Energia convencionalRuralCooperativa de eletrificação ruralNão se aplicaNão se aplicaNão se aplica",Mercado_Receita!$N$2:$N$225)</f>
        <v>0</v>
      </c>
      <c r="P24" s="13">
        <f>SUMIF(Mercado_Receita!$T$2:$T$225,"44652B2Energia convencionalRuralCooperativa de eletrificação ruralNão se aplicaNão se aplicaNão se aplica",Mercado_Receita!$N$2:$N$225)</f>
        <v>0</v>
      </c>
      <c r="Q24" s="13">
        <f>SUMIF(Mercado_Receita!$T$2:$T$225,"44682B2Energia convencionalRuralCooperativa de eletrificação ruralNão se aplicaNão se aplicaNão se aplica",Mercado_Receita!$N$2:$N$225)</f>
        <v>0</v>
      </c>
      <c r="R24" s="13">
        <f>SUMIF(Mercado_Receita!$T$2:$T$225,"44713B2Energia convencionalRuralCooperativa de eletrificação ruralNão se aplicaNão se aplicaNão se aplica",Mercado_Receita!$N$2:$N$225)</f>
        <v>0</v>
      </c>
      <c r="S24" s="13">
        <f>SUMIF(Mercado_Receita!$T$2:$T$225,"44743B2Energia convencionalRuralCooperativa de eletrificação ruralNão se aplicaNão se aplicaNão se aplica",Mercado_Receita!$N$2:$N$225)</f>
        <v>0</v>
      </c>
      <c r="T24" s="13">
        <f>SUMIF(Mercado_Receita!$T$2:$T$225,"44774B2Energia convencionalRuralCooperativa de eletrificação ruralNão se aplicaNão se aplicaNão se aplica",Mercado_Receita!$N$2:$N$225)</f>
        <v>0</v>
      </c>
      <c r="U24" s="13">
        <f t="shared" si="0"/>
        <v>0</v>
      </c>
      <c r="V24" s="13"/>
      <c r="W24" s="13"/>
    </row>
    <row r="25" spans="1:23" ht="11.25" customHeight="1" x14ac:dyDescent="0.3">
      <c r="A25" s="77"/>
      <c r="B25" s="76" t="s">
        <v>67</v>
      </c>
      <c r="C25" s="76" t="s">
        <v>40</v>
      </c>
      <c r="D25" s="76" t="s">
        <v>86</v>
      </c>
      <c r="E25" s="76" t="s">
        <v>25</v>
      </c>
      <c r="F25" s="76" t="s">
        <v>25</v>
      </c>
      <c r="G25" s="13" t="s">
        <v>69</v>
      </c>
      <c r="H25" s="13" t="s">
        <v>68</v>
      </c>
      <c r="I25" s="13">
        <f>SUMIF(Mercado_Receita!$T$2:$T$225,"44440B2Energia horáriaRuralServiço público de irrigação ruralNão se aplicaNão se aplicaPonta",Mercado_Receita!$N$2:$N$225)</f>
        <v>0</v>
      </c>
      <c r="J25" s="13">
        <f>SUMIF(Mercado_Receita!$T$2:$T$225,"44470B2Energia horáriaRuralServiço público de irrigação ruralNão se aplicaNão se aplicaPonta",Mercado_Receita!$N$2:$N$225)</f>
        <v>0</v>
      </c>
      <c r="K25" s="13">
        <f>SUMIF(Mercado_Receita!$T$2:$T$225,"44501B2Energia horáriaRuralServiço público de irrigação ruralNão se aplicaNão se aplicaPonta",Mercado_Receita!$N$2:$N$225)</f>
        <v>0</v>
      </c>
      <c r="L25" s="13">
        <f>SUMIF(Mercado_Receita!$T$2:$T$225,"44531B2Energia horáriaRuralServiço público de irrigação ruralNão se aplicaNão se aplicaPonta",Mercado_Receita!$N$2:$N$225)</f>
        <v>0</v>
      </c>
      <c r="M25" s="13">
        <f>SUMIF(Mercado_Receita!$T$2:$T$225,"44562B2Energia horáriaRuralServiço público de irrigação ruralNão se aplicaNão se aplicaPonta",Mercado_Receita!$N$2:$N$225)</f>
        <v>0</v>
      </c>
      <c r="N25" s="13">
        <f>SUMIF(Mercado_Receita!$T$2:$T$225,"44593B2Energia horáriaRuralServiço público de irrigação ruralNão se aplicaNão se aplicaPonta",Mercado_Receita!$N$2:$N$225)</f>
        <v>0</v>
      </c>
      <c r="O25" s="13">
        <f>SUMIF(Mercado_Receita!$T$2:$T$225,"44621B2Energia horáriaRuralServiço público de irrigação ruralNão se aplicaNão se aplicaPonta",Mercado_Receita!$N$2:$N$225)</f>
        <v>0</v>
      </c>
      <c r="P25" s="13">
        <f>SUMIF(Mercado_Receita!$T$2:$T$225,"44652B2Energia horáriaRuralServiço público de irrigação ruralNão se aplicaNão se aplicaPonta",Mercado_Receita!$N$2:$N$225)</f>
        <v>0</v>
      </c>
      <c r="Q25" s="13">
        <f>SUMIF(Mercado_Receita!$T$2:$T$225,"44682B2Energia horáriaRuralServiço público de irrigação ruralNão se aplicaNão se aplicaPonta",Mercado_Receita!$N$2:$N$225)</f>
        <v>0</v>
      </c>
      <c r="R25" s="13">
        <f>SUMIF(Mercado_Receita!$T$2:$T$225,"44713B2Energia horáriaRuralServiço público de irrigação ruralNão se aplicaNão se aplicaPonta",Mercado_Receita!$N$2:$N$225)</f>
        <v>0</v>
      </c>
      <c r="S25" s="13">
        <f>SUMIF(Mercado_Receita!$T$2:$T$225,"44743B2Energia horáriaRuralServiço público de irrigação ruralNão se aplicaNão se aplicaPonta",Mercado_Receita!$N$2:$N$225)</f>
        <v>0</v>
      </c>
      <c r="T25" s="13">
        <f>SUMIF(Mercado_Receita!$T$2:$T$225,"44774B2Energia horáriaRuralServiço público de irrigação ruralNão se aplicaNão se aplicaPonta",Mercado_Receita!$N$2:$N$225)</f>
        <v>0</v>
      </c>
      <c r="U25" s="13">
        <f t="shared" si="0"/>
        <v>0</v>
      </c>
      <c r="V25" s="13"/>
      <c r="W25" s="13"/>
    </row>
    <row r="26" spans="1:23" ht="11.25" customHeight="1" x14ac:dyDescent="0.3">
      <c r="A26" s="77"/>
      <c r="B26" s="77"/>
      <c r="C26" s="77"/>
      <c r="D26" s="77"/>
      <c r="E26" s="77"/>
      <c r="F26" s="77"/>
      <c r="G26" s="13" t="s">
        <v>80</v>
      </c>
      <c r="H26" s="13" t="s">
        <v>68</v>
      </c>
      <c r="I26" s="13">
        <f>SUMIF(Mercado_Receita!$T$2:$T$225,"44440B2Energia horáriaRuralServiço público de irrigação ruralNão se aplicaNão se aplicaIntermediário",Mercado_Receita!$N$2:$N$225)</f>
        <v>0</v>
      </c>
      <c r="J26" s="13">
        <f>SUMIF(Mercado_Receita!$T$2:$T$225,"44470B2Energia horáriaRuralServiço público de irrigação ruralNão se aplicaNão se aplicaIntermediário",Mercado_Receita!$N$2:$N$225)</f>
        <v>0</v>
      </c>
      <c r="K26" s="13">
        <f>SUMIF(Mercado_Receita!$T$2:$T$225,"44501B2Energia horáriaRuralServiço público de irrigação ruralNão se aplicaNão se aplicaIntermediário",Mercado_Receita!$N$2:$N$225)</f>
        <v>0</v>
      </c>
      <c r="L26" s="13">
        <f>SUMIF(Mercado_Receita!$T$2:$T$225,"44531B2Energia horáriaRuralServiço público de irrigação ruralNão se aplicaNão se aplicaIntermediário",Mercado_Receita!$N$2:$N$225)</f>
        <v>0</v>
      </c>
      <c r="M26" s="13">
        <f>SUMIF(Mercado_Receita!$T$2:$T$225,"44562B2Energia horáriaRuralServiço público de irrigação ruralNão se aplicaNão se aplicaIntermediário",Mercado_Receita!$N$2:$N$225)</f>
        <v>0</v>
      </c>
      <c r="N26" s="13">
        <f>SUMIF(Mercado_Receita!$T$2:$T$225,"44593B2Energia horáriaRuralServiço público de irrigação ruralNão se aplicaNão se aplicaIntermediário",Mercado_Receita!$N$2:$N$225)</f>
        <v>0</v>
      </c>
      <c r="O26" s="13">
        <f>SUMIF(Mercado_Receita!$T$2:$T$225,"44621B2Energia horáriaRuralServiço público de irrigação ruralNão se aplicaNão se aplicaIntermediário",Mercado_Receita!$N$2:$N$225)</f>
        <v>0</v>
      </c>
      <c r="P26" s="13">
        <f>SUMIF(Mercado_Receita!$T$2:$T$225,"44652B2Energia horáriaRuralServiço público de irrigação ruralNão se aplicaNão se aplicaIntermediário",Mercado_Receita!$N$2:$N$225)</f>
        <v>0</v>
      </c>
      <c r="Q26" s="13">
        <f>SUMIF(Mercado_Receita!$T$2:$T$225,"44682B2Energia horáriaRuralServiço público de irrigação ruralNão se aplicaNão se aplicaIntermediário",Mercado_Receita!$N$2:$N$225)</f>
        <v>0</v>
      </c>
      <c r="R26" s="13">
        <f>SUMIF(Mercado_Receita!$T$2:$T$225,"44713B2Energia horáriaRuralServiço público de irrigação ruralNão se aplicaNão se aplicaIntermediário",Mercado_Receita!$N$2:$N$225)</f>
        <v>0</v>
      </c>
      <c r="S26" s="13">
        <f>SUMIF(Mercado_Receita!$T$2:$T$225,"44743B2Energia horáriaRuralServiço público de irrigação ruralNão se aplicaNão se aplicaIntermediário",Mercado_Receita!$N$2:$N$225)</f>
        <v>0</v>
      </c>
      <c r="T26" s="13">
        <f>SUMIF(Mercado_Receita!$T$2:$T$225,"44774B2Energia horáriaRuralServiço público de irrigação ruralNão se aplicaNão se aplicaIntermediário",Mercado_Receita!$N$2:$N$225)</f>
        <v>0</v>
      </c>
      <c r="U26" s="13">
        <f t="shared" si="0"/>
        <v>0</v>
      </c>
      <c r="V26" s="13"/>
      <c r="W26" s="13"/>
    </row>
    <row r="27" spans="1:23" ht="11.25" customHeight="1" x14ac:dyDescent="0.3">
      <c r="A27" s="77"/>
      <c r="B27" s="77"/>
      <c r="C27" s="77"/>
      <c r="D27" s="77"/>
      <c r="E27" s="77"/>
      <c r="F27" s="77"/>
      <c r="G27" s="13" t="s">
        <v>70</v>
      </c>
      <c r="H27" s="13" t="s">
        <v>68</v>
      </c>
      <c r="I27" s="13">
        <f>SUMIF(Mercado_Receita!$T$2:$T$225,"44440B2Energia horáriaRuralServiço público de irrigação ruralNão se aplicaNão se aplicaFora ponta",Mercado_Receita!$N$2:$N$225)</f>
        <v>0</v>
      </c>
      <c r="J27" s="13">
        <f>SUMIF(Mercado_Receita!$T$2:$T$225,"44470B2Energia horáriaRuralServiço público de irrigação ruralNão se aplicaNão se aplicaFora ponta",Mercado_Receita!$N$2:$N$225)</f>
        <v>0</v>
      </c>
      <c r="K27" s="13">
        <f>SUMIF(Mercado_Receita!$T$2:$T$225,"44501B2Energia horáriaRuralServiço público de irrigação ruralNão se aplicaNão se aplicaFora ponta",Mercado_Receita!$N$2:$N$225)</f>
        <v>0</v>
      </c>
      <c r="L27" s="13">
        <f>SUMIF(Mercado_Receita!$T$2:$T$225,"44531B2Energia horáriaRuralServiço público de irrigação ruralNão se aplicaNão se aplicaFora ponta",Mercado_Receita!$N$2:$N$225)</f>
        <v>0</v>
      </c>
      <c r="M27" s="13">
        <f>SUMIF(Mercado_Receita!$T$2:$T$225,"44562B2Energia horáriaRuralServiço público de irrigação ruralNão se aplicaNão se aplicaFora ponta",Mercado_Receita!$N$2:$N$225)</f>
        <v>0</v>
      </c>
      <c r="N27" s="13">
        <f>SUMIF(Mercado_Receita!$T$2:$T$225,"44593B2Energia horáriaRuralServiço público de irrigação ruralNão se aplicaNão se aplicaFora ponta",Mercado_Receita!$N$2:$N$225)</f>
        <v>0</v>
      </c>
      <c r="O27" s="13">
        <f>SUMIF(Mercado_Receita!$T$2:$T$225,"44621B2Energia horáriaRuralServiço público de irrigação ruralNão se aplicaNão se aplicaFora ponta",Mercado_Receita!$N$2:$N$225)</f>
        <v>0</v>
      </c>
      <c r="P27" s="13">
        <f>SUMIF(Mercado_Receita!$T$2:$T$225,"44652B2Energia horáriaRuralServiço público de irrigação ruralNão se aplicaNão se aplicaFora ponta",Mercado_Receita!$N$2:$N$225)</f>
        <v>0</v>
      </c>
      <c r="Q27" s="13">
        <f>SUMIF(Mercado_Receita!$T$2:$T$225,"44682B2Energia horáriaRuralServiço público de irrigação ruralNão se aplicaNão se aplicaFora ponta",Mercado_Receita!$N$2:$N$225)</f>
        <v>0</v>
      </c>
      <c r="R27" s="13">
        <f>SUMIF(Mercado_Receita!$T$2:$T$225,"44713B2Energia horáriaRuralServiço público de irrigação ruralNão se aplicaNão se aplicaFora ponta",Mercado_Receita!$N$2:$N$225)</f>
        <v>0</v>
      </c>
      <c r="S27" s="13">
        <f>SUMIF(Mercado_Receita!$T$2:$T$225,"44743B2Energia horáriaRuralServiço público de irrigação ruralNão se aplicaNão se aplicaFora ponta",Mercado_Receita!$N$2:$N$225)</f>
        <v>0</v>
      </c>
      <c r="T27" s="13">
        <f>SUMIF(Mercado_Receita!$T$2:$T$225,"44774B2Energia horáriaRuralServiço público de irrigação ruralNão se aplicaNão se aplicaFora ponta",Mercado_Receita!$N$2:$N$225)</f>
        <v>0</v>
      </c>
      <c r="U27" s="13">
        <f t="shared" si="0"/>
        <v>0</v>
      </c>
      <c r="V27" s="13"/>
      <c r="W27" s="13"/>
    </row>
    <row r="28" spans="1:23" ht="11.25" customHeight="1" x14ac:dyDescent="0.3">
      <c r="A28" s="77"/>
      <c r="B28" s="12" t="s">
        <v>81</v>
      </c>
      <c r="C28" s="12" t="s">
        <v>40</v>
      </c>
      <c r="D28" s="12" t="s">
        <v>86</v>
      </c>
      <c r="E28" s="12" t="s">
        <v>25</v>
      </c>
      <c r="F28" s="12" t="s">
        <v>25</v>
      </c>
      <c r="G28" s="13" t="s">
        <v>74</v>
      </c>
      <c r="H28" s="13" t="s">
        <v>68</v>
      </c>
      <c r="I28" s="13">
        <f>SUMIF(Mercado_Receita!$T$2:$T$225,"44440B2Energia convencionalRuralServiço público de irrigação ruralNão se aplicaNão se aplicaNão se aplica",Mercado_Receita!$N$2:$N$225)</f>
        <v>0</v>
      </c>
      <c r="J28" s="13">
        <f>SUMIF(Mercado_Receita!$T$2:$T$225,"44470B2Energia convencionalRuralServiço público de irrigação ruralNão se aplicaNão se aplicaNão se aplica",Mercado_Receita!$N$2:$N$225)</f>
        <v>0</v>
      </c>
      <c r="K28" s="13">
        <f>SUMIF(Mercado_Receita!$T$2:$T$225,"44501B2Energia convencionalRuralServiço público de irrigação ruralNão se aplicaNão se aplicaNão se aplica",Mercado_Receita!$N$2:$N$225)</f>
        <v>0</v>
      </c>
      <c r="L28" s="13">
        <f>SUMIF(Mercado_Receita!$T$2:$T$225,"44531B2Energia convencionalRuralServiço público de irrigação ruralNão se aplicaNão se aplicaNão se aplica",Mercado_Receita!$N$2:$N$225)</f>
        <v>0</v>
      </c>
      <c r="M28" s="13">
        <f>SUMIF(Mercado_Receita!$T$2:$T$225,"44562B2Energia convencionalRuralServiço público de irrigação ruralNão se aplicaNão se aplicaNão se aplica",Mercado_Receita!$N$2:$N$225)</f>
        <v>0</v>
      </c>
      <c r="N28" s="13">
        <f>SUMIF(Mercado_Receita!$T$2:$T$225,"44593B2Energia convencionalRuralServiço público de irrigação ruralNão se aplicaNão se aplicaNão se aplica",Mercado_Receita!$N$2:$N$225)</f>
        <v>0</v>
      </c>
      <c r="O28" s="13">
        <f>SUMIF(Mercado_Receita!$T$2:$T$225,"44621B2Energia convencionalRuralServiço público de irrigação ruralNão se aplicaNão se aplicaNão se aplica",Mercado_Receita!$N$2:$N$225)</f>
        <v>0</v>
      </c>
      <c r="P28" s="13">
        <f>SUMIF(Mercado_Receita!$T$2:$T$225,"44652B2Energia convencionalRuralServiço público de irrigação ruralNão se aplicaNão se aplicaNão se aplica",Mercado_Receita!$N$2:$N$225)</f>
        <v>0</v>
      </c>
      <c r="Q28" s="13">
        <f>SUMIF(Mercado_Receita!$T$2:$T$225,"44682B2Energia convencionalRuralServiço público de irrigação ruralNão se aplicaNão se aplicaNão se aplica",Mercado_Receita!$N$2:$N$225)</f>
        <v>0</v>
      </c>
      <c r="R28" s="13">
        <f>SUMIF(Mercado_Receita!$T$2:$T$225,"44713B2Energia convencionalRuralServiço público de irrigação ruralNão se aplicaNão se aplicaNão se aplica",Mercado_Receita!$N$2:$N$225)</f>
        <v>0</v>
      </c>
      <c r="S28" s="13">
        <f>SUMIF(Mercado_Receita!$T$2:$T$225,"44743B2Energia convencionalRuralServiço público de irrigação ruralNão se aplicaNão se aplicaNão se aplica",Mercado_Receita!$N$2:$N$225)</f>
        <v>0</v>
      </c>
      <c r="T28" s="13">
        <f>SUMIF(Mercado_Receita!$T$2:$T$225,"44774B2Energia convencionalRuralServiço público de irrigação ruralNão se aplicaNão se aplicaNão se aplica",Mercado_Receita!$N$2:$N$225)</f>
        <v>0</v>
      </c>
      <c r="U28" s="13">
        <f t="shared" si="0"/>
        <v>0</v>
      </c>
      <c r="V28" s="13"/>
      <c r="W28" s="13"/>
    </row>
    <row r="29" spans="1:23" ht="11.25" customHeight="1" x14ac:dyDescent="0.3">
      <c r="A29" s="77"/>
      <c r="B29" s="76" t="s">
        <v>83</v>
      </c>
      <c r="C29" s="76" t="s">
        <v>40</v>
      </c>
      <c r="D29" s="12" t="s">
        <v>25</v>
      </c>
      <c r="E29" s="12" t="s">
        <v>25</v>
      </c>
      <c r="F29" s="12" t="s">
        <v>25</v>
      </c>
      <c r="G29" s="13" t="s">
        <v>74</v>
      </c>
      <c r="H29" s="13" t="s">
        <v>68</v>
      </c>
      <c r="I29" s="13">
        <f>SUMIF(Mercado_Receita!$T$2:$T$225,"44440B2Energia convencional pré-pagamentoRuralNão se aplicaNão se aplicaNão se aplicaNão se aplica",Mercado_Receita!$N$2:$N$225)</f>
        <v>0</v>
      </c>
      <c r="J29" s="13">
        <f>SUMIF(Mercado_Receita!$T$2:$T$225,"44470B2Energia convencional pré-pagamentoRuralNão se aplicaNão se aplicaNão se aplicaNão se aplica",Mercado_Receita!$N$2:$N$225)</f>
        <v>0</v>
      </c>
      <c r="K29" s="13">
        <f>SUMIF(Mercado_Receita!$T$2:$T$225,"44501B2Energia convencional pré-pagamentoRuralNão se aplicaNão se aplicaNão se aplicaNão se aplica",Mercado_Receita!$N$2:$N$225)</f>
        <v>0</v>
      </c>
      <c r="L29" s="13">
        <f>SUMIF(Mercado_Receita!$T$2:$T$225,"44531B2Energia convencional pré-pagamentoRuralNão se aplicaNão se aplicaNão se aplicaNão se aplica",Mercado_Receita!$N$2:$N$225)</f>
        <v>0</v>
      </c>
      <c r="M29" s="13">
        <f>SUMIF(Mercado_Receita!$T$2:$T$225,"44562B2Energia convencional pré-pagamentoRuralNão se aplicaNão se aplicaNão se aplicaNão se aplica",Mercado_Receita!$N$2:$N$225)</f>
        <v>0</v>
      </c>
      <c r="N29" s="13">
        <f>SUMIF(Mercado_Receita!$T$2:$T$225,"44593B2Energia convencional pré-pagamentoRuralNão se aplicaNão se aplicaNão se aplicaNão se aplica",Mercado_Receita!$N$2:$N$225)</f>
        <v>0</v>
      </c>
      <c r="O29" s="13">
        <f>SUMIF(Mercado_Receita!$T$2:$T$225,"44621B2Energia convencional pré-pagamentoRuralNão se aplicaNão se aplicaNão se aplicaNão se aplica",Mercado_Receita!$N$2:$N$225)</f>
        <v>0</v>
      </c>
      <c r="P29" s="13">
        <f>SUMIF(Mercado_Receita!$T$2:$T$225,"44652B2Energia convencional pré-pagamentoRuralNão se aplicaNão se aplicaNão se aplicaNão se aplica",Mercado_Receita!$N$2:$N$225)</f>
        <v>0</v>
      </c>
      <c r="Q29" s="13">
        <f>SUMIF(Mercado_Receita!$T$2:$T$225,"44682B2Energia convencional pré-pagamentoRuralNão se aplicaNão se aplicaNão se aplicaNão se aplica",Mercado_Receita!$N$2:$N$225)</f>
        <v>0</v>
      </c>
      <c r="R29" s="13">
        <f>SUMIF(Mercado_Receita!$T$2:$T$225,"44713B2Energia convencional pré-pagamentoRuralNão se aplicaNão se aplicaNão se aplicaNão se aplica",Mercado_Receita!$N$2:$N$225)</f>
        <v>0</v>
      </c>
      <c r="S29" s="13">
        <f>SUMIF(Mercado_Receita!$T$2:$T$225,"44743B2Energia convencional pré-pagamentoRuralNão se aplicaNão se aplicaNão se aplicaNão se aplica",Mercado_Receita!$N$2:$N$225)</f>
        <v>0</v>
      </c>
      <c r="T29" s="13">
        <f>SUMIF(Mercado_Receita!$T$2:$T$225,"44774B2Energia convencional pré-pagamentoRuralNão se aplicaNão se aplicaNão se aplicaNão se aplica",Mercado_Receita!$N$2:$N$225)</f>
        <v>0</v>
      </c>
      <c r="U29" s="13">
        <f t="shared" si="0"/>
        <v>0</v>
      </c>
      <c r="V29" s="13"/>
      <c r="W29" s="13"/>
    </row>
    <row r="30" spans="1:23" ht="11.25" customHeight="1" x14ac:dyDescent="0.3">
      <c r="A30" s="77"/>
      <c r="B30" s="77"/>
      <c r="C30" s="77"/>
      <c r="D30" s="12" t="s">
        <v>85</v>
      </c>
      <c r="E30" s="12" t="s">
        <v>25</v>
      </c>
      <c r="F30" s="12" t="s">
        <v>25</v>
      </c>
      <c r="G30" s="13" t="s">
        <v>74</v>
      </c>
      <c r="H30" s="13" t="s">
        <v>68</v>
      </c>
      <c r="I30" s="13">
        <f>SUMIF(Mercado_Receita!$T$2:$T$225,"44440B2Energia convencional pré-pagamentoRuralCooperativa de eletrificação ruralNão se aplicaNão se aplicaNão se aplica",Mercado_Receita!$N$2:$N$225)</f>
        <v>0</v>
      </c>
      <c r="J30" s="13">
        <f>SUMIF(Mercado_Receita!$T$2:$T$225,"44470B2Energia convencional pré-pagamentoRuralCooperativa de eletrificação ruralNão se aplicaNão se aplicaNão se aplica",Mercado_Receita!$N$2:$N$225)</f>
        <v>0</v>
      </c>
      <c r="K30" s="13">
        <f>SUMIF(Mercado_Receita!$T$2:$T$225,"44501B2Energia convencional pré-pagamentoRuralCooperativa de eletrificação ruralNão se aplicaNão se aplicaNão se aplica",Mercado_Receita!$N$2:$N$225)</f>
        <v>0</v>
      </c>
      <c r="L30" s="13">
        <f>SUMIF(Mercado_Receita!$T$2:$T$225,"44531B2Energia convencional pré-pagamentoRuralCooperativa de eletrificação ruralNão se aplicaNão se aplicaNão se aplica",Mercado_Receita!$N$2:$N$225)</f>
        <v>0</v>
      </c>
      <c r="M30" s="13">
        <f>SUMIF(Mercado_Receita!$T$2:$T$225,"44562B2Energia convencional pré-pagamentoRuralCooperativa de eletrificação ruralNão se aplicaNão se aplicaNão se aplica",Mercado_Receita!$N$2:$N$225)</f>
        <v>0</v>
      </c>
      <c r="N30" s="13">
        <f>SUMIF(Mercado_Receita!$T$2:$T$225,"44593B2Energia convencional pré-pagamentoRuralCooperativa de eletrificação ruralNão se aplicaNão se aplicaNão se aplica",Mercado_Receita!$N$2:$N$225)</f>
        <v>0</v>
      </c>
      <c r="O30" s="13">
        <f>SUMIF(Mercado_Receita!$T$2:$T$225,"44621B2Energia convencional pré-pagamentoRuralCooperativa de eletrificação ruralNão se aplicaNão se aplicaNão se aplica",Mercado_Receita!$N$2:$N$225)</f>
        <v>0</v>
      </c>
      <c r="P30" s="13">
        <f>SUMIF(Mercado_Receita!$T$2:$T$225,"44652B2Energia convencional pré-pagamentoRuralCooperativa de eletrificação ruralNão se aplicaNão se aplicaNão se aplica",Mercado_Receita!$N$2:$N$225)</f>
        <v>0</v>
      </c>
      <c r="Q30" s="13">
        <f>SUMIF(Mercado_Receita!$T$2:$T$225,"44682B2Energia convencional pré-pagamentoRuralCooperativa de eletrificação ruralNão se aplicaNão se aplicaNão se aplica",Mercado_Receita!$N$2:$N$225)</f>
        <v>0</v>
      </c>
      <c r="R30" s="13">
        <f>SUMIF(Mercado_Receita!$T$2:$T$225,"44713B2Energia convencional pré-pagamentoRuralCooperativa de eletrificação ruralNão se aplicaNão se aplicaNão se aplica",Mercado_Receita!$N$2:$N$225)</f>
        <v>0</v>
      </c>
      <c r="S30" s="13">
        <f>SUMIF(Mercado_Receita!$T$2:$T$225,"44743B2Energia convencional pré-pagamentoRuralCooperativa de eletrificação ruralNão se aplicaNão se aplicaNão se aplica",Mercado_Receita!$N$2:$N$225)</f>
        <v>0</v>
      </c>
      <c r="T30" s="13">
        <f>SUMIF(Mercado_Receita!$T$2:$T$225,"44774B2Energia convencional pré-pagamentoRuralCooperativa de eletrificação ruralNão se aplicaNão se aplicaNão se aplica",Mercado_Receita!$N$2:$N$225)</f>
        <v>0</v>
      </c>
      <c r="U30" s="13">
        <f t="shared" si="0"/>
        <v>0</v>
      </c>
      <c r="V30" s="13"/>
      <c r="W30" s="13"/>
    </row>
    <row r="31" spans="1:23" ht="11.25" customHeight="1" x14ac:dyDescent="0.3">
      <c r="A31" s="77"/>
      <c r="B31" s="77"/>
      <c r="C31" s="77"/>
      <c r="D31" s="12" t="s">
        <v>86</v>
      </c>
      <c r="E31" s="12" t="s">
        <v>25</v>
      </c>
      <c r="F31" s="12" t="s">
        <v>25</v>
      </c>
      <c r="G31" s="13" t="s">
        <v>74</v>
      </c>
      <c r="H31" s="13" t="s">
        <v>68</v>
      </c>
      <c r="I31" s="13">
        <f>SUMIF(Mercado_Receita!$T$2:$T$225,"44440B2Energia convencional pré-pagamentoRuralServiço público de irrigação ruralNão se aplicaNão se aplicaNão se aplica",Mercado_Receita!$N$2:$N$225)</f>
        <v>0</v>
      </c>
      <c r="J31" s="13">
        <f>SUMIF(Mercado_Receita!$T$2:$T$225,"44470B2Energia convencional pré-pagamentoRuralServiço público de irrigação ruralNão se aplicaNão se aplicaNão se aplica",Mercado_Receita!$N$2:$N$225)</f>
        <v>0</v>
      </c>
      <c r="K31" s="13">
        <f>SUMIF(Mercado_Receita!$T$2:$T$225,"44501B2Energia convencional pré-pagamentoRuralServiço público de irrigação ruralNão se aplicaNão se aplicaNão se aplica",Mercado_Receita!$N$2:$N$225)</f>
        <v>0</v>
      </c>
      <c r="L31" s="13">
        <f>SUMIF(Mercado_Receita!$T$2:$T$225,"44531B2Energia convencional pré-pagamentoRuralServiço público de irrigação ruralNão se aplicaNão se aplicaNão se aplica",Mercado_Receita!$N$2:$N$225)</f>
        <v>0</v>
      </c>
      <c r="M31" s="13">
        <f>SUMIF(Mercado_Receita!$T$2:$T$225,"44562B2Energia convencional pré-pagamentoRuralServiço público de irrigação ruralNão se aplicaNão se aplicaNão se aplica",Mercado_Receita!$N$2:$N$225)</f>
        <v>0</v>
      </c>
      <c r="N31" s="13">
        <f>SUMIF(Mercado_Receita!$T$2:$T$225,"44593B2Energia convencional pré-pagamentoRuralServiço público de irrigação ruralNão se aplicaNão se aplicaNão se aplica",Mercado_Receita!$N$2:$N$225)</f>
        <v>0</v>
      </c>
      <c r="O31" s="13">
        <f>SUMIF(Mercado_Receita!$T$2:$T$225,"44621B2Energia convencional pré-pagamentoRuralServiço público de irrigação ruralNão se aplicaNão se aplicaNão se aplica",Mercado_Receita!$N$2:$N$225)</f>
        <v>0</v>
      </c>
      <c r="P31" s="13">
        <f>SUMIF(Mercado_Receita!$T$2:$T$225,"44652B2Energia convencional pré-pagamentoRuralServiço público de irrigação ruralNão se aplicaNão se aplicaNão se aplica",Mercado_Receita!$N$2:$N$225)</f>
        <v>0</v>
      </c>
      <c r="Q31" s="13">
        <f>SUMIF(Mercado_Receita!$T$2:$T$225,"44682B2Energia convencional pré-pagamentoRuralServiço público de irrigação ruralNão se aplicaNão se aplicaNão se aplica",Mercado_Receita!$N$2:$N$225)</f>
        <v>0</v>
      </c>
      <c r="R31" s="13">
        <f>SUMIF(Mercado_Receita!$T$2:$T$225,"44713B2Energia convencional pré-pagamentoRuralServiço público de irrigação ruralNão se aplicaNão se aplicaNão se aplica",Mercado_Receita!$N$2:$N$225)</f>
        <v>0</v>
      </c>
      <c r="S31" s="13">
        <f>SUMIF(Mercado_Receita!$T$2:$T$225,"44743B2Energia convencional pré-pagamentoRuralServiço público de irrigação ruralNão se aplicaNão se aplicaNão se aplica",Mercado_Receita!$N$2:$N$225)</f>
        <v>0</v>
      </c>
      <c r="T31" s="13">
        <f>SUMIF(Mercado_Receita!$T$2:$T$225,"44774B2Energia convencional pré-pagamentoRuralServiço público de irrigação ruralNão se aplicaNão se aplicaNão se aplica",Mercado_Receita!$N$2:$N$225)</f>
        <v>0</v>
      </c>
      <c r="U31" s="13">
        <f t="shared" si="0"/>
        <v>0</v>
      </c>
      <c r="V31" s="13"/>
      <c r="W31" s="13"/>
    </row>
    <row r="32" spans="1:23" ht="11.25" customHeight="1" x14ac:dyDescent="0.3">
      <c r="A32" s="76" t="s">
        <v>31</v>
      </c>
      <c r="B32" s="76" t="s">
        <v>67</v>
      </c>
      <c r="C32" s="76" t="s">
        <v>25</v>
      </c>
      <c r="D32" s="76" t="s">
        <v>25</v>
      </c>
      <c r="E32" s="76" t="s">
        <v>25</v>
      </c>
      <c r="F32" s="76" t="s">
        <v>25</v>
      </c>
      <c r="G32" s="13" t="s">
        <v>69</v>
      </c>
      <c r="H32" s="13" t="s">
        <v>68</v>
      </c>
      <c r="I32" s="13">
        <f>SUMIF(Mercado_Receita!$T$2:$T$225,"44440B3Energia horáriaNão se aplicaNão se aplicaNão se aplicaNão se aplicaPonta",Mercado_Receita!$N$2:$N$225)</f>
        <v>0</v>
      </c>
      <c r="J32" s="13">
        <f>SUMIF(Mercado_Receita!$T$2:$T$225,"44470B3Energia horáriaNão se aplicaNão se aplicaNão se aplicaNão se aplicaPonta",Mercado_Receita!$N$2:$N$225)</f>
        <v>0</v>
      </c>
      <c r="K32" s="13">
        <f>SUMIF(Mercado_Receita!$T$2:$T$225,"44501B3Energia horáriaNão se aplicaNão se aplicaNão se aplicaNão se aplicaPonta",Mercado_Receita!$N$2:$N$225)</f>
        <v>0</v>
      </c>
      <c r="L32" s="13">
        <f>SUMIF(Mercado_Receita!$T$2:$T$225,"44531B3Energia horáriaNão se aplicaNão se aplicaNão se aplicaNão se aplicaPonta",Mercado_Receita!$N$2:$N$225)</f>
        <v>0</v>
      </c>
      <c r="M32" s="13">
        <f>SUMIF(Mercado_Receita!$T$2:$T$225,"44562B3Energia horáriaNão se aplicaNão se aplicaNão se aplicaNão se aplicaPonta",Mercado_Receita!$N$2:$N$225)</f>
        <v>0</v>
      </c>
      <c r="N32" s="13">
        <f>SUMIF(Mercado_Receita!$T$2:$T$225,"44593B3Energia horáriaNão se aplicaNão se aplicaNão se aplicaNão se aplicaPonta",Mercado_Receita!$N$2:$N$225)</f>
        <v>0</v>
      </c>
      <c r="O32" s="13">
        <f>SUMIF(Mercado_Receita!$T$2:$T$225,"44621B3Energia horáriaNão se aplicaNão se aplicaNão se aplicaNão se aplicaPonta",Mercado_Receita!$N$2:$N$225)</f>
        <v>0</v>
      </c>
      <c r="P32" s="13">
        <f>SUMIF(Mercado_Receita!$T$2:$T$225,"44652B3Energia horáriaNão se aplicaNão se aplicaNão se aplicaNão se aplicaPonta",Mercado_Receita!$N$2:$N$225)</f>
        <v>0</v>
      </c>
      <c r="Q32" s="13">
        <f>SUMIF(Mercado_Receita!$T$2:$T$225,"44682B3Energia horáriaNão se aplicaNão se aplicaNão se aplicaNão se aplicaPonta",Mercado_Receita!$N$2:$N$225)</f>
        <v>0</v>
      </c>
      <c r="R32" s="13">
        <f>SUMIF(Mercado_Receita!$T$2:$T$225,"44713B3Energia horáriaNão se aplicaNão se aplicaNão se aplicaNão se aplicaPonta",Mercado_Receita!$N$2:$N$225)</f>
        <v>0</v>
      </c>
      <c r="S32" s="13">
        <f>SUMIF(Mercado_Receita!$T$2:$T$225,"44743B3Energia horáriaNão se aplicaNão se aplicaNão se aplicaNão se aplicaPonta",Mercado_Receita!$N$2:$N$225)</f>
        <v>0</v>
      </c>
      <c r="T32" s="13">
        <f>SUMIF(Mercado_Receita!$T$2:$T$225,"44774B3Energia horáriaNão se aplicaNão se aplicaNão se aplicaNão se aplicaPonta",Mercado_Receita!$N$2:$N$225)</f>
        <v>0</v>
      </c>
      <c r="U32" s="13">
        <f t="shared" si="0"/>
        <v>0</v>
      </c>
      <c r="V32" s="13"/>
      <c r="W32" s="13"/>
    </row>
    <row r="33" spans="1:23" ht="11.25" customHeight="1" x14ac:dyDescent="0.3">
      <c r="A33" s="77"/>
      <c r="B33" s="77"/>
      <c r="C33" s="77"/>
      <c r="D33" s="77"/>
      <c r="E33" s="77"/>
      <c r="F33" s="77"/>
      <c r="G33" s="13" t="s">
        <v>80</v>
      </c>
      <c r="H33" s="13" t="s">
        <v>68</v>
      </c>
      <c r="I33" s="13">
        <f>SUMIF(Mercado_Receita!$T$2:$T$225,"44440B3Energia horáriaNão se aplicaNão se aplicaNão se aplicaNão se aplicaIntermediário",Mercado_Receita!$N$2:$N$225)</f>
        <v>0</v>
      </c>
      <c r="J33" s="13">
        <f>SUMIF(Mercado_Receita!$T$2:$T$225,"44470B3Energia horáriaNão se aplicaNão se aplicaNão se aplicaNão se aplicaIntermediário",Mercado_Receita!$N$2:$N$225)</f>
        <v>0</v>
      </c>
      <c r="K33" s="13">
        <f>SUMIF(Mercado_Receita!$T$2:$T$225,"44501B3Energia horáriaNão se aplicaNão se aplicaNão se aplicaNão se aplicaIntermediário",Mercado_Receita!$N$2:$N$225)</f>
        <v>0</v>
      </c>
      <c r="L33" s="13">
        <f>SUMIF(Mercado_Receita!$T$2:$T$225,"44531B3Energia horáriaNão se aplicaNão se aplicaNão se aplicaNão se aplicaIntermediário",Mercado_Receita!$N$2:$N$225)</f>
        <v>0</v>
      </c>
      <c r="M33" s="13">
        <f>SUMIF(Mercado_Receita!$T$2:$T$225,"44562B3Energia horáriaNão se aplicaNão se aplicaNão se aplicaNão se aplicaIntermediário",Mercado_Receita!$N$2:$N$225)</f>
        <v>0</v>
      </c>
      <c r="N33" s="13">
        <f>SUMIF(Mercado_Receita!$T$2:$T$225,"44593B3Energia horáriaNão se aplicaNão se aplicaNão se aplicaNão se aplicaIntermediário",Mercado_Receita!$N$2:$N$225)</f>
        <v>0</v>
      </c>
      <c r="O33" s="13">
        <f>SUMIF(Mercado_Receita!$T$2:$T$225,"44621B3Energia horáriaNão se aplicaNão se aplicaNão se aplicaNão se aplicaIntermediário",Mercado_Receita!$N$2:$N$225)</f>
        <v>0</v>
      </c>
      <c r="P33" s="13">
        <f>SUMIF(Mercado_Receita!$T$2:$T$225,"44652B3Energia horáriaNão se aplicaNão se aplicaNão se aplicaNão se aplicaIntermediário",Mercado_Receita!$N$2:$N$225)</f>
        <v>0</v>
      </c>
      <c r="Q33" s="13">
        <f>SUMIF(Mercado_Receita!$T$2:$T$225,"44682B3Energia horáriaNão se aplicaNão se aplicaNão se aplicaNão se aplicaIntermediário",Mercado_Receita!$N$2:$N$225)</f>
        <v>0</v>
      </c>
      <c r="R33" s="13">
        <f>SUMIF(Mercado_Receita!$T$2:$T$225,"44713B3Energia horáriaNão se aplicaNão se aplicaNão se aplicaNão se aplicaIntermediário",Mercado_Receita!$N$2:$N$225)</f>
        <v>0</v>
      </c>
      <c r="S33" s="13">
        <f>SUMIF(Mercado_Receita!$T$2:$T$225,"44743B3Energia horáriaNão se aplicaNão se aplicaNão se aplicaNão se aplicaIntermediário",Mercado_Receita!$N$2:$N$225)</f>
        <v>0</v>
      </c>
      <c r="T33" s="13">
        <f>SUMIF(Mercado_Receita!$T$2:$T$225,"44774B3Energia horáriaNão se aplicaNão se aplicaNão se aplicaNão se aplicaIntermediário",Mercado_Receita!$N$2:$N$225)</f>
        <v>0</v>
      </c>
      <c r="U33" s="13">
        <f t="shared" si="0"/>
        <v>0</v>
      </c>
      <c r="V33" s="13"/>
      <c r="W33" s="13"/>
    </row>
    <row r="34" spans="1:23" ht="11.25" customHeight="1" x14ac:dyDescent="0.3">
      <c r="A34" s="77"/>
      <c r="B34" s="77"/>
      <c r="C34" s="77"/>
      <c r="D34" s="77"/>
      <c r="E34" s="77"/>
      <c r="F34" s="77"/>
      <c r="G34" s="13" t="s">
        <v>70</v>
      </c>
      <c r="H34" s="13" t="s">
        <v>68</v>
      </c>
      <c r="I34" s="13">
        <f>SUMIF(Mercado_Receita!$T$2:$T$225,"44440B3Energia horáriaNão se aplicaNão se aplicaNão se aplicaNão se aplicaFora ponta",Mercado_Receita!$N$2:$N$225)</f>
        <v>0</v>
      </c>
      <c r="J34" s="13">
        <f>SUMIF(Mercado_Receita!$T$2:$T$225,"44470B3Energia horáriaNão se aplicaNão se aplicaNão se aplicaNão se aplicaFora ponta",Mercado_Receita!$N$2:$N$225)</f>
        <v>0</v>
      </c>
      <c r="K34" s="13">
        <f>SUMIF(Mercado_Receita!$T$2:$T$225,"44501B3Energia horáriaNão se aplicaNão se aplicaNão se aplicaNão se aplicaFora ponta",Mercado_Receita!$N$2:$N$225)</f>
        <v>0</v>
      </c>
      <c r="L34" s="13">
        <f>SUMIF(Mercado_Receita!$T$2:$T$225,"44531B3Energia horáriaNão se aplicaNão se aplicaNão se aplicaNão se aplicaFora ponta",Mercado_Receita!$N$2:$N$225)</f>
        <v>0</v>
      </c>
      <c r="M34" s="13">
        <f>SUMIF(Mercado_Receita!$T$2:$T$225,"44562B3Energia horáriaNão se aplicaNão se aplicaNão se aplicaNão se aplicaFora ponta",Mercado_Receita!$N$2:$N$225)</f>
        <v>0</v>
      </c>
      <c r="N34" s="13">
        <f>SUMIF(Mercado_Receita!$T$2:$T$225,"44593B3Energia horáriaNão se aplicaNão se aplicaNão se aplicaNão se aplicaFora ponta",Mercado_Receita!$N$2:$N$225)</f>
        <v>0</v>
      </c>
      <c r="O34" s="13">
        <f>SUMIF(Mercado_Receita!$T$2:$T$225,"44621B3Energia horáriaNão se aplicaNão se aplicaNão se aplicaNão se aplicaFora ponta",Mercado_Receita!$N$2:$N$225)</f>
        <v>0</v>
      </c>
      <c r="P34" s="13">
        <f>SUMIF(Mercado_Receita!$T$2:$T$225,"44652B3Energia horáriaNão se aplicaNão se aplicaNão se aplicaNão se aplicaFora ponta",Mercado_Receita!$N$2:$N$225)</f>
        <v>0</v>
      </c>
      <c r="Q34" s="13">
        <f>SUMIF(Mercado_Receita!$T$2:$T$225,"44682B3Energia horáriaNão se aplicaNão se aplicaNão se aplicaNão se aplicaFora ponta",Mercado_Receita!$N$2:$N$225)</f>
        <v>0</v>
      </c>
      <c r="R34" s="13">
        <f>SUMIF(Mercado_Receita!$T$2:$T$225,"44713B3Energia horáriaNão se aplicaNão se aplicaNão se aplicaNão se aplicaFora ponta",Mercado_Receita!$N$2:$N$225)</f>
        <v>0</v>
      </c>
      <c r="S34" s="13">
        <f>SUMIF(Mercado_Receita!$T$2:$T$225,"44743B3Energia horáriaNão se aplicaNão se aplicaNão se aplicaNão se aplicaFora ponta",Mercado_Receita!$N$2:$N$225)</f>
        <v>0</v>
      </c>
      <c r="T34" s="13">
        <f>SUMIF(Mercado_Receita!$T$2:$T$225,"44774B3Energia horáriaNão se aplicaNão se aplicaNão se aplicaNão se aplicaFora ponta",Mercado_Receita!$N$2:$N$225)</f>
        <v>0</v>
      </c>
      <c r="U34" s="13">
        <f t="shared" si="0"/>
        <v>0</v>
      </c>
      <c r="V34" s="13"/>
      <c r="W34" s="13"/>
    </row>
    <row r="35" spans="1:23" ht="11.25" customHeight="1" x14ac:dyDescent="0.3">
      <c r="A35" s="77"/>
      <c r="B35" s="12" t="s">
        <v>81</v>
      </c>
      <c r="C35" s="12" t="s">
        <v>25</v>
      </c>
      <c r="D35" s="12" t="s">
        <v>25</v>
      </c>
      <c r="E35" s="12" t="s">
        <v>25</v>
      </c>
      <c r="F35" s="12" t="s">
        <v>25</v>
      </c>
      <c r="G35" s="13" t="s">
        <v>74</v>
      </c>
      <c r="H35" s="13" t="s">
        <v>68</v>
      </c>
      <c r="I35" s="13">
        <f>SUMIF(Mercado_Receita!$T$2:$T$225,"44440B3Energia convencionalNão se aplicaNão se aplicaNão se aplicaNão se aplicaNão se aplica",Mercado_Receita!$N$2:$N$225)</f>
        <v>20.204999999999998</v>
      </c>
      <c r="J35" s="13">
        <f>SUMIF(Mercado_Receita!$T$2:$T$225,"44470B3Energia convencionalNão se aplicaNão se aplicaNão se aplicaNão se aplicaNão se aplica",Mercado_Receita!$N$2:$N$225)</f>
        <v>19.59</v>
      </c>
      <c r="K35" s="13">
        <f>SUMIF(Mercado_Receita!$T$2:$T$225,"44501B3Energia convencionalNão se aplicaNão se aplicaNão se aplicaNão se aplicaNão se aplica",Mercado_Receita!$N$2:$N$225)</f>
        <v>31.866000000000003</v>
      </c>
      <c r="L35" s="13">
        <f>SUMIF(Mercado_Receita!$T$2:$T$225,"44531B3Energia convencionalNão se aplicaNão se aplicaNão se aplicaNão se aplicaNão se aplica",Mercado_Receita!$N$2:$N$225)</f>
        <v>32.158000000000001</v>
      </c>
      <c r="M35" s="13">
        <f>SUMIF(Mercado_Receita!$T$2:$T$225,"44562B3Energia convencionalNão se aplicaNão se aplicaNão se aplicaNão se aplicaNão se aplica",Mercado_Receita!$N$2:$N$225)</f>
        <v>35.600999999999999</v>
      </c>
      <c r="N35" s="13">
        <f>SUMIF(Mercado_Receita!$T$2:$T$225,"44593B3Energia convencionalNão se aplicaNão se aplicaNão se aplicaNão se aplicaNão se aplica",Mercado_Receita!$N$2:$N$225)</f>
        <v>32.032000000000004</v>
      </c>
      <c r="O35" s="13">
        <f>SUMIF(Mercado_Receita!$T$2:$T$225,"44621B3Energia convencionalNão se aplicaNão se aplicaNão se aplicaNão se aplicaNão se aplica",Mercado_Receita!$N$2:$N$225)</f>
        <v>27.85</v>
      </c>
      <c r="P35" s="13">
        <f>SUMIF(Mercado_Receita!$T$2:$T$225,"44652B3Energia convencionalNão se aplicaNão se aplicaNão se aplicaNão se aplicaNão se aplica",Mercado_Receita!$N$2:$N$225)</f>
        <v>25.650000000000002</v>
      </c>
      <c r="Q35" s="13">
        <f>SUMIF(Mercado_Receita!$T$2:$T$225,"44682B3Energia convencionalNão se aplicaNão se aplicaNão se aplicaNão se aplicaNão se aplica",Mercado_Receita!$N$2:$N$225)</f>
        <v>26.649000000000001</v>
      </c>
      <c r="R35" s="13">
        <f>SUMIF(Mercado_Receita!$T$2:$T$225,"44713B3Energia convencionalNão se aplicaNão se aplicaNão se aplicaNão se aplicaNão se aplica",Mercado_Receita!$N$2:$N$225)</f>
        <v>24.539000000000001</v>
      </c>
      <c r="S35" s="13">
        <f>SUMIF(Mercado_Receita!$T$2:$T$225,"44743B3Energia convencionalNão se aplicaNão se aplicaNão se aplicaNão se aplicaNão se aplica",Mercado_Receita!$N$2:$N$225)</f>
        <v>22.498999999999999</v>
      </c>
      <c r="T35" s="13">
        <f>SUMIF(Mercado_Receita!$T$2:$T$225,"44774B3Energia convencionalNão se aplicaNão se aplicaNão se aplicaNão se aplicaNão se aplica",Mercado_Receita!$N$2:$N$225)</f>
        <v>23.070999999999994</v>
      </c>
      <c r="U35" s="13">
        <f t="shared" si="0"/>
        <v>321.71000000000004</v>
      </c>
      <c r="V35" s="13"/>
      <c r="W35" s="13"/>
    </row>
    <row r="36" spans="1:23" ht="11.25" customHeight="1" x14ac:dyDescent="0.3">
      <c r="A36" s="77"/>
      <c r="B36" s="12" t="s">
        <v>83</v>
      </c>
      <c r="C36" s="12" t="s">
        <v>25</v>
      </c>
      <c r="D36" s="12" t="s">
        <v>25</v>
      </c>
      <c r="E36" s="12" t="s">
        <v>25</v>
      </c>
      <c r="F36" s="12" t="s">
        <v>25</v>
      </c>
      <c r="G36" s="13" t="s">
        <v>74</v>
      </c>
      <c r="H36" s="13" t="s">
        <v>68</v>
      </c>
      <c r="I36" s="13">
        <f>SUMIF(Mercado_Receita!$T$2:$T$225,"44440B3Energia convencional pré-pagamentoNão se aplicaNão se aplicaNão se aplicaNão se aplicaNão se aplica",Mercado_Receita!$N$2:$N$225)</f>
        <v>0</v>
      </c>
      <c r="J36" s="13">
        <f>SUMIF(Mercado_Receita!$T$2:$T$225,"44470B3Energia convencional pré-pagamentoNão se aplicaNão se aplicaNão se aplicaNão se aplicaNão se aplica",Mercado_Receita!$N$2:$N$225)</f>
        <v>0</v>
      </c>
      <c r="K36" s="13">
        <f>SUMIF(Mercado_Receita!$T$2:$T$225,"44501B3Energia convencional pré-pagamentoNão se aplicaNão se aplicaNão se aplicaNão se aplicaNão se aplica",Mercado_Receita!$N$2:$N$225)</f>
        <v>0</v>
      </c>
      <c r="L36" s="13">
        <f>SUMIF(Mercado_Receita!$T$2:$T$225,"44531B3Energia convencional pré-pagamentoNão se aplicaNão se aplicaNão se aplicaNão se aplicaNão se aplica",Mercado_Receita!$N$2:$N$225)</f>
        <v>0</v>
      </c>
      <c r="M36" s="13">
        <f>SUMIF(Mercado_Receita!$T$2:$T$225,"44562B3Energia convencional pré-pagamentoNão se aplicaNão se aplicaNão se aplicaNão se aplicaNão se aplica",Mercado_Receita!$N$2:$N$225)</f>
        <v>0</v>
      </c>
      <c r="N36" s="13">
        <f>SUMIF(Mercado_Receita!$T$2:$T$225,"44593B3Energia convencional pré-pagamentoNão se aplicaNão se aplicaNão se aplicaNão se aplicaNão se aplica",Mercado_Receita!$N$2:$N$225)</f>
        <v>0</v>
      </c>
      <c r="O36" s="13">
        <f>SUMIF(Mercado_Receita!$T$2:$T$225,"44621B3Energia convencional pré-pagamentoNão se aplicaNão se aplicaNão se aplicaNão se aplicaNão se aplica",Mercado_Receita!$N$2:$N$225)</f>
        <v>0</v>
      </c>
      <c r="P36" s="13">
        <f>SUMIF(Mercado_Receita!$T$2:$T$225,"44652B3Energia convencional pré-pagamentoNão se aplicaNão se aplicaNão se aplicaNão se aplicaNão se aplica",Mercado_Receita!$N$2:$N$225)</f>
        <v>0</v>
      </c>
      <c r="Q36" s="13">
        <f>SUMIF(Mercado_Receita!$T$2:$T$225,"44682B3Energia convencional pré-pagamentoNão se aplicaNão se aplicaNão se aplicaNão se aplicaNão se aplica",Mercado_Receita!$N$2:$N$225)</f>
        <v>0</v>
      </c>
      <c r="R36" s="13">
        <f>SUMIF(Mercado_Receita!$T$2:$T$225,"44713B3Energia convencional pré-pagamentoNão se aplicaNão se aplicaNão se aplicaNão se aplicaNão se aplica",Mercado_Receita!$N$2:$N$225)</f>
        <v>0</v>
      </c>
      <c r="S36" s="13">
        <f>SUMIF(Mercado_Receita!$T$2:$T$225,"44743B3Energia convencional pré-pagamentoNão se aplicaNão se aplicaNão se aplicaNão se aplicaNão se aplica",Mercado_Receita!$N$2:$N$225)</f>
        <v>0</v>
      </c>
      <c r="T36" s="13">
        <f>SUMIF(Mercado_Receita!$T$2:$T$225,"44774B3Energia convencional pré-pagamentoNão se aplicaNão se aplicaNão se aplicaNão se aplicaNão se aplica",Mercado_Receita!$N$2:$N$225)</f>
        <v>0</v>
      </c>
      <c r="U36" s="13">
        <f t="shared" si="0"/>
        <v>0</v>
      </c>
      <c r="V36" s="13"/>
      <c r="W36" s="13"/>
    </row>
    <row r="37" spans="1:23" ht="11.25" customHeight="1" x14ac:dyDescent="0.3">
      <c r="A37" s="76" t="s">
        <v>43</v>
      </c>
      <c r="B37" s="76" t="s">
        <v>81</v>
      </c>
      <c r="C37" s="76" t="s">
        <v>44</v>
      </c>
      <c r="D37" s="12" t="s">
        <v>45</v>
      </c>
      <c r="E37" s="12" t="s">
        <v>25</v>
      </c>
      <c r="F37" s="12" t="s">
        <v>25</v>
      </c>
      <c r="G37" s="13" t="s">
        <v>74</v>
      </c>
      <c r="H37" s="13" t="s">
        <v>68</v>
      </c>
      <c r="I37" s="13">
        <f>SUMIF(Mercado_Receita!$T$2:$T$225,"44440B4Energia convencionalIluminação públicaIluminação pública – B4aNão se aplicaNão se aplicaNão se aplica",Mercado_Receita!$N$2:$N$225)</f>
        <v>20.414000000000001</v>
      </c>
      <c r="J37" s="13">
        <f>SUMIF(Mercado_Receita!$T$2:$T$225,"44470B4Energia convencionalIluminação públicaIluminação pública – B4aNão se aplicaNão se aplicaNão se aplica",Mercado_Receita!$N$2:$N$225)</f>
        <v>21.094000000000001</v>
      </c>
      <c r="K37" s="13">
        <f>SUMIF(Mercado_Receita!$T$2:$T$225,"44501B4Energia convencionalIluminação públicaIluminação pública – B4aNão se aplicaNão se aplicaNão se aplica",Mercado_Receita!$N$2:$N$225)</f>
        <v>20.414000000000001</v>
      </c>
      <c r="L37" s="13">
        <f>SUMIF(Mercado_Receita!$T$2:$T$225,"44531B4Energia convencionalIluminação públicaIluminação pública – B4aNão se aplicaNão se aplicaNão se aplica",Mercado_Receita!$N$2:$N$225)</f>
        <v>21.094000000000001</v>
      </c>
      <c r="M37" s="13">
        <f>SUMIF(Mercado_Receita!$T$2:$T$225,"44562B4Energia convencionalIluminação públicaIluminação pública – B4aNão se aplicaNão se aplicaNão se aplica",Mercado_Receita!$N$2:$N$225)</f>
        <v>21.123999999999999</v>
      </c>
      <c r="N37" s="13">
        <f>SUMIF(Mercado_Receita!$T$2:$T$225,"44593B4Energia convencionalIluminação públicaIluminação pública – B4aNão se aplicaNão se aplicaNão se aplica",Mercado_Receita!$N$2:$N$225)</f>
        <v>19.079999999999998</v>
      </c>
      <c r="O37" s="13">
        <f>SUMIF(Mercado_Receita!$T$2:$T$225,"44621B4Energia convencionalIluminação públicaIluminação pública – B4aNão se aplicaNão se aplicaNão se aplica",Mercado_Receita!$N$2:$N$225)</f>
        <v>21.184000000000001</v>
      </c>
      <c r="P37" s="13">
        <f>SUMIF(Mercado_Receita!$T$2:$T$225,"44652B4Energia convencionalIluminação públicaIluminação pública – B4aNão se aplicaNão se aplicaNão se aplica",Mercado_Receita!$N$2:$N$225)</f>
        <v>20.5</v>
      </c>
      <c r="Q37" s="13">
        <f>SUMIF(Mercado_Receita!$T$2:$T$225,"44682B4Energia convencionalIluminação públicaIluminação pública – B4aNão se aplicaNão se aplicaNão se aplica",Mercado_Receita!$N$2:$N$225)</f>
        <v>21.184000000000001</v>
      </c>
      <c r="R37" s="13">
        <f>SUMIF(Mercado_Receita!$T$2:$T$225,"44713B4Energia convencionalIluminação públicaIluminação pública – B4aNão se aplicaNão se aplicaNão se aplica",Mercado_Receita!$N$2:$N$225)</f>
        <v>20.5</v>
      </c>
      <c r="S37" s="13">
        <f>SUMIF(Mercado_Receita!$T$2:$T$225,"44743B4Energia convencionalIluminação públicaIluminação pública – B4aNão se aplicaNão se aplicaNão se aplica",Mercado_Receita!$N$2:$N$225)</f>
        <v>21.538</v>
      </c>
      <c r="T37" s="13">
        <f>SUMIF(Mercado_Receita!$T$2:$T$225,"44774B4Energia convencionalIluminação públicaIluminação pública – B4aNão se aplicaNão se aplicaNão se aplica",Mercado_Receita!$N$2:$N$225)</f>
        <v>21.538</v>
      </c>
      <c r="U37" s="13">
        <f t="shared" si="0"/>
        <v>249.66400000000002</v>
      </c>
      <c r="V37" s="13"/>
      <c r="W37" s="13"/>
    </row>
    <row r="38" spans="1:23" ht="11.25" customHeight="1" x14ac:dyDescent="0.3">
      <c r="A38" s="77"/>
      <c r="B38" s="77"/>
      <c r="C38" s="77"/>
      <c r="D38" s="13" t="s">
        <v>87</v>
      </c>
      <c r="E38" s="13" t="s">
        <v>25</v>
      </c>
      <c r="F38" s="13" t="s">
        <v>25</v>
      </c>
      <c r="G38" s="13" t="s">
        <v>74</v>
      </c>
      <c r="H38" s="13" t="s">
        <v>68</v>
      </c>
      <c r="I38" s="13">
        <f>SUMIF(Mercado_Receita!$T$2:$T$225,"44440B4Energia convencionalIluminação públicaIluminação pública – B4bNão se aplicaNão se aplicaNão se aplica",Mercado_Receita!$N$2:$N$225)</f>
        <v>0</v>
      </c>
      <c r="J38" s="13">
        <f>SUMIF(Mercado_Receita!$T$2:$T$225,"44470B4Energia convencionalIluminação públicaIluminação pública – B4bNão se aplicaNão se aplicaNão se aplica",Mercado_Receita!$N$2:$N$225)</f>
        <v>0</v>
      </c>
      <c r="K38" s="13">
        <f>SUMIF(Mercado_Receita!$T$2:$T$225,"44501B4Energia convencionalIluminação públicaIluminação pública – B4bNão se aplicaNão se aplicaNão se aplica",Mercado_Receita!$N$2:$N$225)</f>
        <v>0</v>
      </c>
      <c r="L38" s="13">
        <f>SUMIF(Mercado_Receita!$T$2:$T$225,"44531B4Energia convencionalIluminação públicaIluminação pública – B4bNão se aplicaNão se aplicaNão se aplica",Mercado_Receita!$N$2:$N$225)</f>
        <v>0</v>
      </c>
      <c r="M38" s="13">
        <f>SUMIF(Mercado_Receita!$T$2:$T$225,"44562B4Energia convencionalIluminação públicaIluminação pública – B4bNão se aplicaNão se aplicaNão se aplica",Mercado_Receita!$N$2:$N$225)</f>
        <v>0</v>
      </c>
      <c r="N38" s="13">
        <f>SUMIF(Mercado_Receita!$T$2:$T$225,"44593B4Energia convencionalIluminação públicaIluminação pública – B4bNão se aplicaNão se aplicaNão se aplica",Mercado_Receita!$N$2:$N$225)</f>
        <v>0</v>
      </c>
      <c r="O38" s="13">
        <f>SUMIF(Mercado_Receita!$T$2:$T$225,"44621B4Energia convencionalIluminação públicaIluminação pública – B4bNão se aplicaNão se aplicaNão se aplica",Mercado_Receita!$N$2:$N$225)</f>
        <v>0</v>
      </c>
      <c r="P38" s="13">
        <f>SUMIF(Mercado_Receita!$T$2:$T$225,"44652B4Energia convencionalIluminação públicaIluminação pública – B4bNão se aplicaNão se aplicaNão se aplica",Mercado_Receita!$N$2:$N$225)</f>
        <v>0</v>
      </c>
      <c r="Q38" s="13">
        <f>SUMIF(Mercado_Receita!$T$2:$T$225,"44682B4Energia convencionalIluminação públicaIluminação pública – B4bNão se aplicaNão se aplicaNão se aplica",Mercado_Receita!$N$2:$N$225)</f>
        <v>0</v>
      </c>
      <c r="R38" s="13">
        <f>SUMIF(Mercado_Receita!$T$2:$T$225,"44713B4Energia convencionalIluminação públicaIluminação pública – B4bNão se aplicaNão se aplicaNão se aplica",Mercado_Receita!$N$2:$N$225)</f>
        <v>0</v>
      </c>
      <c r="S38" s="13">
        <f>SUMIF(Mercado_Receita!$T$2:$T$225,"44743B4Energia convencionalIluminação públicaIluminação pública – B4bNão se aplicaNão se aplicaNão se aplica",Mercado_Receita!$N$2:$N$225)</f>
        <v>0</v>
      </c>
      <c r="T38" s="13">
        <f>SUMIF(Mercado_Receita!$T$2:$T$225,"44774B4Energia convencionalIluminação públicaIluminação pública – B4bNão se aplicaNão se aplicaNão se aplica",Mercado_Receita!$N$2:$N$225)</f>
        <v>0</v>
      </c>
      <c r="U38" s="13">
        <f t="shared" si="0"/>
        <v>0</v>
      </c>
      <c r="V38" s="13"/>
      <c r="W38" s="13"/>
    </row>
    <row r="39" spans="1:23" ht="11.25" customHeight="1" x14ac:dyDescent="0.3">
      <c r="A39" s="78" t="s">
        <v>366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13"/>
      <c r="W39" s="13"/>
    </row>
  </sheetData>
  <mergeCells count="44">
    <mergeCell ref="A2:A3"/>
    <mergeCell ref="F2:F3"/>
    <mergeCell ref="E2:E3"/>
    <mergeCell ref="D2:D3"/>
    <mergeCell ref="C2:C3"/>
    <mergeCell ref="B2:B3"/>
    <mergeCell ref="C12:C16"/>
    <mergeCell ref="B12:B16"/>
    <mergeCell ref="A4:A16"/>
    <mergeCell ref="F17:F19"/>
    <mergeCell ref="E17:E19"/>
    <mergeCell ref="D17:D19"/>
    <mergeCell ref="C17:C19"/>
    <mergeCell ref="B17:B19"/>
    <mergeCell ref="F4:F6"/>
    <mergeCell ref="E4:E6"/>
    <mergeCell ref="D4:D6"/>
    <mergeCell ref="C4:C6"/>
    <mergeCell ref="B4:B6"/>
    <mergeCell ref="C7:C11"/>
    <mergeCell ref="B7:B11"/>
    <mergeCell ref="C21:C23"/>
    <mergeCell ref="B21:B23"/>
    <mergeCell ref="F25:F27"/>
    <mergeCell ref="E25:E27"/>
    <mergeCell ref="D25:D27"/>
    <mergeCell ref="C25:C27"/>
    <mergeCell ref="B25:B27"/>
    <mergeCell ref="A37:A38"/>
    <mergeCell ref="B37:B38"/>
    <mergeCell ref="C37:C38"/>
    <mergeCell ref="A39:U39"/>
    <mergeCell ref="C29:C31"/>
    <mergeCell ref="B29:B31"/>
    <mergeCell ref="A17:A31"/>
    <mergeCell ref="F32:F34"/>
    <mergeCell ref="E32:E34"/>
    <mergeCell ref="D32:D34"/>
    <mergeCell ref="C32:C34"/>
    <mergeCell ref="B32:B34"/>
    <mergeCell ref="A32:A36"/>
    <mergeCell ref="F21:F23"/>
    <mergeCell ref="E21:E23"/>
    <mergeCell ref="D21:D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C8DB-2258-4125-B3A7-5DCE871C0D7E}">
  <dimension ref="A1:AD200"/>
  <sheetViews>
    <sheetView showGridLines="0" topLeftCell="A32" workbookViewId="0">
      <selection activeCell="H49" sqref="H49"/>
    </sheetView>
  </sheetViews>
  <sheetFormatPr defaultRowHeight="12" customHeight="1" x14ac:dyDescent="0.2"/>
  <cols>
    <col min="1" max="1" width="10.21875" style="14" bestFit="1" customWidth="1"/>
    <col min="2" max="2" width="14" style="14" bestFit="1" customWidth="1"/>
    <col min="3" max="3" width="18.109375" style="14" bestFit="1" customWidth="1"/>
    <col min="4" max="4" width="14.5546875" style="14" bestFit="1" customWidth="1"/>
    <col min="5" max="5" width="14.109375" style="14" bestFit="1" customWidth="1"/>
    <col min="6" max="6" width="4.33203125" style="14" bestFit="1" customWidth="1"/>
    <col min="7" max="7" width="8.88671875" style="14"/>
    <col min="8" max="8" width="10.77734375" style="14" bestFit="1" customWidth="1"/>
    <col min="9" max="11" width="8.88671875" style="14"/>
    <col min="12" max="12" width="33.5546875" style="14" bestFit="1" customWidth="1"/>
    <col min="13" max="13" width="9.6640625" style="14" bestFit="1" customWidth="1"/>
    <col min="14" max="14" width="35.109375" style="14" bestFit="1" customWidth="1"/>
    <col min="15" max="15" width="30.77734375" style="14" customWidth="1"/>
    <col min="16" max="16" width="13.21875" style="14" bestFit="1" customWidth="1"/>
    <col min="17" max="17" width="9" style="14" bestFit="1" customWidth="1"/>
    <col min="18" max="18" width="14.109375" style="14" bestFit="1" customWidth="1"/>
    <col min="19" max="19" width="30.21875" style="14" bestFit="1" customWidth="1"/>
    <col min="20" max="20" width="15" style="14" bestFit="1" customWidth="1"/>
    <col min="21" max="21" width="10.5546875" style="14" bestFit="1" customWidth="1"/>
    <col min="22" max="22" width="12.88671875" style="14" bestFit="1" customWidth="1"/>
    <col min="23" max="23" width="5" style="14" bestFit="1" customWidth="1"/>
    <col min="24" max="24" width="51.88671875" style="14" bestFit="1" customWidth="1"/>
    <col min="25" max="26" width="5" style="14" bestFit="1" customWidth="1"/>
    <col min="27" max="27" width="2" style="14" bestFit="1" customWidth="1"/>
    <col min="28" max="16384" width="8.88671875" style="14"/>
  </cols>
  <sheetData>
    <row r="1" spans="1:30" ht="12" customHeight="1" x14ac:dyDescent="0.2">
      <c r="A1" s="10" t="s">
        <v>406</v>
      </c>
      <c r="B1" s="10" t="s">
        <v>407</v>
      </c>
      <c r="C1" s="10" t="s">
        <v>408</v>
      </c>
      <c r="D1" s="10" t="s">
        <v>409</v>
      </c>
      <c r="E1" s="10" t="s">
        <v>410</v>
      </c>
      <c r="F1" s="10" t="s">
        <v>411</v>
      </c>
      <c r="G1" s="7"/>
      <c r="H1" s="7"/>
      <c r="I1" s="7"/>
      <c r="J1" s="7"/>
      <c r="K1" s="7"/>
      <c r="L1" s="87" t="s">
        <v>412</v>
      </c>
      <c r="M1" s="87"/>
      <c r="N1" s="7"/>
      <c r="O1" s="80" t="s">
        <v>499</v>
      </c>
      <c r="P1" s="81"/>
      <c r="Q1" s="81"/>
      <c r="R1" s="81"/>
      <c r="S1" s="81"/>
      <c r="T1" s="81"/>
      <c r="U1" s="81"/>
      <c r="V1" s="7"/>
      <c r="W1" s="7"/>
      <c r="X1" s="7"/>
      <c r="Y1" s="7"/>
      <c r="Z1" s="7"/>
      <c r="AA1" s="7"/>
      <c r="AB1" s="7"/>
      <c r="AC1" s="7"/>
      <c r="AD1" s="7"/>
    </row>
    <row r="2" spans="1:30" ht="12" customHeight="1" x14ac:dyDescent="0.2">
      <c r="A2" s="88" t="s">
        <v>367</v>
      </c>
      <c r="B2" s="88" t="s">
        <v>368</v>
      </c>
      <c r="C2" s="16" t="s">
        <v>453</v>
      </c>
      <c r="D2" s="13">
        <v>0</v>
      </c>
      <c r="E2" s="13">
        <v>0</v>
      </c>
      <c r="F2" s="13">
        <v>0</v>
      </c>
      <c r="G2" s="15"/>
      <c r="H2" s="15"/>
      <c r="I2" s="15"/>
      <c r="J2" s="15"/>
      <c r="K2" s="15"/>
      <c r="L2" s="23" t="s">
        <v>413</v>
      </c>
      <c r="M2" s="62">
        <v>-0.10630000000000001</v>
      </c>
      <c r="N2" s="15"/>
      <c r="O2" s="28" t="s">
        <v>500</v>
      </c>
      <c r="P2" s="28" t="s">
        <v>501</v>
      </c>
      <c r="Q2" s="28" t="s">
        <v>502</v>
      </c>
      <c r="R2" s="28" t="s">
        <v>33</v>
      </c>
      <c r="S2" s="28" t="s">
        <v>503</v>
      </c>
      <c r="T2" s="28" t="s">
        <v>77</v>
      </c>
      <c r="U2" s="28"/>
      <c r="V2" s="15"/>
      <c r="W2" s="15"/>
      <c r="X2" s="23" t="s">
        <v>466</v>
      </c>
      <c r="Y2" s="15"/>
      <c r="Z2" s="15"/>
      <c r="AA2" s="15" t="s">
        <v>511</v>
      </c>
      <c r="AB2" s="15"/>
      <c r="AC2" s="15"/>
      <c r="AD2" s="15"/>
    </row>
    <row r="3" spans="1:30" ht="12" customHeight="1" x14ac:dyDescent="0.2">
      <c r="A3" s="89"/>
      <c r="B3" s="89"/>
      <c r="C3" s="16" t="s">
        <v>369</v>
      </c>
      <c r="D3" s="13">
        <v>12857.088096908077</v>
      </c>
      <c r="E3" s="13">
        <v>-1049.8958455291686</v>
      </c>
      <c r="F3" s="13">
        <v>0</v>
      </c>
      <c r="G3" s="15"/>
      <c r="H3" s="15"/>
      <c r="I3" s="15"/>
      <c r="J3" s="15"/>
      <c r="K3" s="15"/>
      <c r="L3" s="23" t="s">
        <v>414</v>
      </c>
      <c r="M3" s="62"/>
      <c r="N3" s="15"/>
      <c r="O3" s="29">
        <v>1</v>
      </c>
      <c r="P3" s="29">
        <v>1</v>
      </c>
      <c r="Q3" s="29">
        <v>1</v>
      </c>
      <c r="R3" s="29">
        <v>1</v>
      </c>
      <c r="S3" s="29">
        <v>1</v>
      </c>
      <c r="T3" s="29">
        <v>1</v>
      </c>
      <c r="U3" s="29" t="s">
        <v>504</v>
      </c>
      <c r="V3" s="15"/>
      <c r="W3" s="15"/>
      <c r="X3" s="23" t="s">
        <v>467</v>
      </c>
      <c r="Y3" s="15"/>
      <c r="Z3" s="15"/>
      <c r="AA3" s="15">
        <v>0</v>
      </c>
      <c r="AB3" s="15"/>
      <c r="AC3" s="15"/>
      <c r="AD3" s="15"/>
    </row>
    <row r="4" spans="1:30" ht="12" customHeight="1" x14ac:dyDescent="0.2">
      <c r="A4" s="89"/>
      <c r="B4" s="89"/>
      <c r="C4" s="16" t="s">
        <v>370</v>
      </c>
      <c r="D4" s="13">
        <f>$M$22-D$30</f>
        <v>0</v>
      </c>
      <c r="E4" s="13">
        <f>IF((D4+D$30)&lt;&gt;0,$M$20*D4/(D4+D$30),0)</f>
        <v>0</v>
      </c>
      <c r="F4" s="13">
        <f>IF((D4+D$30)&lt;&gt;0,$M$21*D4/(D4+D$30),0)</f>
        <v>0</v>
      </c>
      <c r="G4" s="15"/>
      <c r="H4" s="15"/>
      <c r="I4" s="15"/>
      <c r="J4" s="15"/>
      <c r="K4" s="15"/>
      <c r="L4" s="23" t="s">
        <v>415</v>
      </c>
      <c r="M4" s="62">
        <v>8.5874515481677571E-2</v>
      </c>
      <c r="N4" s="15"/>
      <c r="O4" s="29">
        <v>1</v>
      </c>
      <c r="P4" s="29">
        <v>1</v>
      </c>
      <c r="Q4" s="29">
        <v>1</v>
      </c>
      <c r="R4" s="29">
        <v>1</v>
      </c>
      <c r="S4" s="29">
        <v>1</v>
      </c>
      <c r="T4" s="29">
        <v>1</v>
      </c>
      <c r="U4" s="29" t="s">
        <v>76</v>
      </c>
      <c r="V4" s="15"/>
      <c r="W4" s="15"/>
      <c r="X4" s="15"/>
      <c r="Y4" s="15"/>
      <c r="Z4" s="15"/>
      <c r="AA4" s="15"/>
      <c r="AB4" s="15"/>
      <c r="AC4" s="15"/>
      <c r="AD4" s="15"/>
    </row>
    <row r="5" spans="1:30" ht="12" customHeight="1" x14ac:dyDescent="0.2">
      <c r="A5" s="89"/>
      <c r="B5" s="89"/>
      <c r="C5" s="16" t="s">
        <v>371</v>
      </c>
      <c r="D5" s="13">
        <v>0</v>
      </c>
      <c r="E5" s="13"/>
      <c r="F5" s="13"/>
      <c r="G5" s="15"/>
      <c r="H5" s="15"/>
      <c r="I5" s="15"/>
      <c r="J5" s="15"/>
      <c r="K5" s="15"/>
      <c r="L5" s="23" t="s">
        <v>416</v>
      </c>
      <c r="M5" s="62">
        <v>1E-14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2" customHeight="1" x14ac:dyDescent="0.2">
      <c r="A6" s="89"/>
      <c r="B6" s="89"/>
      <c r="C6" s="16" t="s">
        <v>372</v>
      </c>
      <c r="D6" s="13">
        <v>0</v>
      </c>
      <c r="E6" s="13">
        <v>0</v>
      </c>
      <c r="F6" s="13">
        <v>0</v>
      </c>
      <c r="G6" s="15"/>
      <c r="H6" s="15"/>
      <c r="I6" s="15"/>
      <c r="J6" s="15"/>
      <c r="K6" s="15"/>
      <c r="L6" s="23" t="s">
        <v>417</v>
      </c>
      <c r="M6" s="62">
        <v>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12" customHeight="1" x14ac:dyDescent="0.2">
      <c r="A7" s="89"/>
      <c r="B7" s="89"/>
      <c r="C7" s="16" t="s">
        <v>373</v>
      </c>
      <c r="D7" s="13">
        <v>1447102.0752100002</v>
      </c>
      <c r="E7" s="13">
        <v>-95422.930034866673</v>
      </c>
      <c r="F7" s="13">
        <v>0</v>
      </c>
      <c r="G7" s="15"/>
      <c r="H7" s="15"/>
      <c r="I7" s="15"/>
      <c r="J7" s="15"/>
      <c r="K7" s="15"/>
      <c r="L7" s="23" t="s">
        <v>418</v>
      </c>
      <c r="M7" s="23">
        <f>M8+M9+M10+M11</f>
        <v>974.15950762331363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2" customHeight="1" x14ac:dyDescent="0.2">
      <c r="A8" s="89"/>
      <c r="B8" s="89"/>
      <c r="C8" s="16" t="s">
        <v>374</v>
      </c>
      <c r="D8" s="13">
        <v>254288.34072000007</v>
      </c>
      <c r="E8" s="13">
        <v>-17322.630753886519</v>
      </c>
      <c r="F8" s="13">
        <v>0</v>
      </c>
      <c r="G8" s="15"/>
      <c r="H8" s="15"/>
      <c r="I8" s="15"/>
      <c r="J8" s="15"/>
      <c r="K8" s="15"/>
      <c r="L8" s="63" t="s">
        <v>419</v>
      </c>
      <c r="M8" s="23">
        <v>974.15950762331363</v>
      </c>
      <c r="N8" s="15"/>
      <c r="O8" s="23" t="s">
        <v>452</v>
      </c>
      <c r="P8" s="29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2" customHeight="1" x14ac:dyDescent="0.2">
      <c r="A9" s="89"/>
      <c r="B9" s="89"/>
      <c r="C9" s="16" t="s">
        <v>375</v>
      </c>
      <c r="D9" s="13"/>
      <c r="E9" s="13"/>
      <c r="F9" s="13"/>
      <c r="G9" s="15"/>
      <c r="H9" s="15"/>
      <c r="I9" s="15"/>
      <c r="J9" s="15"/>
      <c r="K9" s="15"/>
      <c r="L9" s="64" t="s">
        <v>420</v>
      </c>
      <c r="M9" s="23">
        <v>0</v>
      </c>
      <c r="N9" s="15"/>
      <c r="O9" s="23" t="s">
        <v>457</v>
      </c>
      <c r="P9" s="29">
        <f>SUM(Mercado_Receita!$J$2:$J$225)</f>
        <v>53173</v>
      </c>
      <c r="Q9" s="29">
        <v>53173</v>
      </c>
      <c r="R9" s="29" t="str">
        <f>IF(ABS(P9-Q9)&gt;1,"ERRO BADNET","OK BADNET")</f>
        <v>OK BADNET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2" customHeight="1" x14ac:dyDescent="0.2">
      <c r="A10" s="89"/>
      <c r="B10" s="90"/>
      <c r="C10" s="16" t="s">
        <v>376</v>
      </c>
      <c r="D10" s="13">
        <f>SUM(D$2:D9)</f>
        <v>1714247.5040269082</v>
      </c>
      <c r="E10" s="13">
        <f>SUM(E$2:E9)</f>
        <v>-113795.45663428237</v>
      </c>
      <c r="F10" s="13">
        <f>SUM(F$2:F9)</f>
        <v>0</v>
      </c>
      <c r="G10" s="15"/>
      <c r="H10" s="15"/>
      <c r="I10" s="15"/>
      <c r="J10" s="15"/>
      <c r="K10" s="15"/>
      <c r="L10" s="63" t="s">
        <v>421</v>
      </c>
      <c r="M10" s="23">
        <v>0</v>
      </c>
      <c r="N10" s="15"/>
      <c r="O10" s="23" t="s">
        <v>458</v>
      </c>
      <c r="P10" s="29">
        <f>SUM(Mercado_Receita!$L$2:$L$225)</f>
        <v>18010.932999999997</v>
      </c>
      <c r="Q10" s="29">
        <v>18010.933000000001</v>
      </c>
      <c r="R10" s="29" t="str">
        <f>IF(ABS(P10-Q10)&gt;1,"ERRO BADNET","OK BADNET")</f>
        <v>OK BADNET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2" customHeight="1" x14ac:dyDescent="0.2">
      <c r="A11" s="89"/>
      <c r="B11" s="88" t="s">
        <v>377</v>
      </c>
      <c r="C11" s="16" t="s">
        <v>378</v>
      </c>
      <c r="D11" s="13">
        <v>0</v>
      </c>
      <c r="E11" s="13">
        <v>0</v>
      </c>
      <c r="F11" s="13">
        <f>IF((+$D$11+$D$12+$D$16+$D$17+$D$39)&lt;&gt;0,$M$19*$D$11/(+$D$11+$D$12+$D$16+$D$17+$D$39),0)</f>
        <v>0</v>
      </c>
      <c r="G11" s="15"/>
      <c r="H11" s="15"/>
      <c r="I11" s="15"/>
      <c r="J11" s="15"/>
      <c r="K11" s="15"/>
      <c r="L11" s="63" t="s">
        <v>422</v>
      </c>
      <c r="M11" s="23">
        <v>0</v>
      </c>
      <c r="N11" s="15"/>
      <c r="O11" s="23" t="s">
        <v>459</v>
      </c>
      <c r="P11" s="29">
        <f>SUM(Mercado_Receita!$N$2:$N$225)</f>
        <v>18010.932999999997</v>
      </c>
      <c r="Q11" s="29">
        <v>18010.933000000001</v>
      </c>
      <c r="R11" s="29" t="str">
        <f>IF(ABS(P11-Q11)&gt;1,"ERRO BADNET","OK BADNET")</f>
        <v>OK BADNET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2" customHeight="1" x14ac:dyDescent="0.2">
      <c r="A12" s="89"/>
      <c r="B12" s="89"/>
      <c r="C12" s="16" t="s">
        <v>379</v>
      </c>
      <c r="D12" s="13">
        <v>0</v>
      </c>
      <c r="E12" s="13">
        <v>0</v>
      </c>
      <c r="F12" s="13">
        <f>IF((+$D$11+$D$12+$D$16+$D$17+$D$39)&lt;&gt;0,$M$19*$D$12/(+$D$11+$D$12+$D$16+$D$17+$D$39),0)</f>
        <v>0</v>
      </c>
      <c r="G12" s="15"/>
      <c r="H12" s="15"/>
      <c r="I12" s="15"/>
      <c r="J12" s="15"/>
      <c r="K12" s="15"/>
      <c r="L12" s="23" t="s">
        <v>423</v>
      </c>
      <c r="M12" s="23">
        <v>18985.092507623318</v>
      </c>
      <c r="N12" s="15"/>
      <c r="O12" s="23" t="s">
        <v>460</v>
      </c>
      <c r="P12" s="29">
        <f>SUMIF('MERCADO TUSD'!$H$2:$H$48,"kW",'MERCADO TUSD'!$U$2:$U$48)</f>
        <v>53173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2" customHeight="1" x14ac:dyDescent="0.2">
      <c r="A13" s="89"/>
      <c r="B13" s="89"/>
      <c r="C13" s="16" t="s">
        <v>380</v>
      </c>
      <c r="D13" s="13">
        <f>-$M$51+0</f>
        <v>0</v>
      </c>
      <c r="E13" s="13"/>
      <c r="F13" s="13"/>
      <c r="G13" s="15"/>
      <c r="H13" s="15"/>
      <c r="I13" s="15"/>
      <c r="J13" s="15"/>
      <c r="K13" s="15"/>
      <c r="L13" s="23" t="s">
        <v>424</v>
      </c>
      <c r="M13" s="23">
        <v>266.3712037912012</v>
      </c>
      <c r="N13" s="15"/>
      <c r="O13" s="23" t="s">
        <v>461</v>
      </c>
      <c r="P13" s="29">
        <f>SUMIF('MERCADO TUSD'!$H$2:$H$48,"MWh",'MERCADO TUSD'!$U$2:$U$48)</f>
        <v>18010.933000000001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2" customHeight="1" x14ac:dyDescent="0.2">
      <c r="A14" s="89"/>
      <c r="B14" s="89"/>
      <c r="C14" s="16" t="s">
        <v>381</v>
      </c>
      <c r="D14" s="13"/>
      <c r="E14" s="13"/>
      <c r="F14" s="13"/>
      <c r="G14" s="15"/>
      <c r="H14" s="15"/>
      <c r="I14" s="15"/>
      <c r="J14" s="15"/>
      <c r="K14" s="15"/>
      <c r="L14" s="23" t="s">
        <v>425</v>
      </c>
      <c r="M14" s="23">
        <v>190.82333704258912</v>
      </c>
      <c r="N14" s="15"/>
      <c r="O14" s="23" t="s">
        <v>462</v>
      </c>
      <c r="P14" s="29">
        <f>SUMIF('MERCADO TE'!$H$2:$H$38,"MWh",'MERCADO TE'!$U$2:$U$38)</f>
        <v>18010.933000000001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2" customHeight="1" x14ac:dyDescent="0.2">
      <c r="A15" s="89"/>
      <c r="B15" s="89"/>
      <c r="C15" s="16" t="s">
        <v>382</v>
      </c>
      <c r="D15" s="13">
        <v>1881904.5259199997</v>
      </c>
      <c r="E15" s="13">
        <v>31119.052103736372</v>
      </c>
      <c r="F15" s="13">
        <v>0</v>
      </c>
      <c r="G15" s="15"/>
      <c r="H15" s="15"/>
      <c r="I15" s="15"/>
      <c r="J15" s="15"/>
      <c r="K15" s="15"/>
      <c r="L15" s="23" t="s">
        <v>426</v>
      </c>
      <c r="M15" s="23">
        <f>M14*M12</f>
        <v>3622798.7063669376</v>
      </c>
      <c r="N15" s="15"/>
      <c r="O15" s="23" t="s">
        <v>463</v>
      </c>
      <c r="P15" s="29" t="str">
        <f>IF(ABS(P9-P12)&gt;1,"ERRO","OK")</f>
        <v>OK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2" customHeight="1" x14ac:dyDescent="0.2">
      <c r="A16" s="89"/>
      <c r="B16" s="89"/>
      <c r="C16" s="16" t="s">
        <v>383</v>
      </c>
      <c r="D16" s="13">
        <v>0</v>
      </c>
      <c r="E16" s="13"/>
      <c r="F16" s="13">
        <f>IF((+$D$11+$D$12+$D$16+$D$17+$D$39)&lt;&gt;0,$M$19*$D$16/(+$D$11+$D$12+$D$16+$D$17+$D$39),0)</f>
        <v>0</v>
      </c>
      <c r="G16" s="15"/>
      <c r="H16" s="15"/>
      <c r="I16" s="15"/>
      <c r="J16" s="15"/>
      <c r="K16" s="15"/>
      <c r="L16" s="23" t="s">
        <v>427</v>
      </c>
      <c r="M16" s="23">
        <v>259820.05438162602</v>
      </c>
      <c r="N16" s="15"/>
      <c r="O16" s="23" t="s">
        <v>464</v>
      </c>
      <c r="P16" s="29" t="str">
        <f>IF(ABS(P10-P13)&gt;1,"ERRO","OK")</f>
        <v>OK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12" customHeight="1" x14ac:dyDescent="0.2">
      <c r="A17" s="89"/>
      <c r="B17" s="89"/>
      <c r="C17" s="16" t="s">
        <v>384</v>
      </c>
      <c r="D17" s="13">
        <v>0</v>
      </c>
      <c r="E17" s="13"/>
      <c r="F17" s="13">
        <f>IF((+$D$11+$D$12+$D$16+$D$17+$D$39)&lt;&gt;0,$M$19*$D$17/(+$D$11+$D$12+$D$16+$D$17+$D$39),0)</f>
        <v>0</v>
      </c>
      <c r="G17" s="15"/>
      <c r="H17" s="15"/>
      <c r="I17" s="15"/>
      <c r="J17" s="15"/>
      <c r="K17" s="15"/>
      <c r="L17" s="23" t="s">
        <v>428</v>
      </c>
      <c r="M17" s="23">
        <v>0</v>
      </c>
      <c r="N17" s="15"/>
      <c r="O17" s="23" t="s">
        <v>465</v>
      </c>
      <c r="P17" s="29" t="str">
        <f>IF(ABS(P11-P14)&gt;1,"ERRO","OK")</f>
        <v>OK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12" customHeight="1" x14ac:dyDescent="0.2">
      <c r="A18" s="89"/>
      <c r="B18" s="90"/>
      <c r="C18" s="16" t="s">
        <v>376</v>
      </c>
      <c r="D18" s="13">
        <f>SUM(D$11:D17)</f>
        <v>1881904.5259199997</v>
      </c>
      <c r="E18" s="13">
        <f>SUM(E$11:E17)</f>
        <v>31119.052103736372</v>
      </c>
      <c r="F18" s="13">
        <f>SUM(F$11:F17)</f>
        <v>0</v>
      </c>
      <c r="G18" s="15"/>
      <c r="H18" s="15"/>
      <c r="I18" s="15"/>
      <c r="J18" s="15"/>
      <c r="K18" s="15"/>
      <c r="L18" s="23" t="s">
        <v>429</v>
      </c>
      <c r="M18" s="23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12" customHeight="1" x14ac:dyDescent="0.2">
      <c r="A19" s="89"/>
      <c r="B19" s="88" t="s">
        <v>385</v>
      </c>
      <c r="C19" s="16" t="s">
        <v>386</v>
      </c>
      <c r="D19" s="13">
        <v>2890068.7</v>
      </c>
      <c r="E19" s="13">
        <v>-1494125.1525960967</v>
      </c>
      <c r="F19" s="13">
        <v>0</v>
      </c>
      <c r="G19" s="15"/>
      <c r="H19" s="15"/>
      <c r="I19" s="15"/>
      <c r="J19" s="15"/>
      <c r="K19" s="15"/>
      <c r="L19" s="23" t="s">
        <v>430</v>
      </c>
      <c r="M19" s="23">
        <v>0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2" customHeight="1" x14ac:dyDescent="0.2">
      <c r="A20" s="89"/>
      <c r="B20" s="90"/>
      <c r="C20" s="16" t="s">
        <v>376</v>
      </c>
      <c r="D20" s="13">
        <f>SUM(D$19:D19)</f>
        <v>2890068.7</v>
      </c>
      <c r="E20" s="13">
        <f>SUM(E$19:E19)</f>
        <v>-1494125.1525960967</v>
      </c>
      <c r="F20" s="13">
        <f>SUM(F$19:F19)</f>
        <v>0</v>
      </c>
      <c r="G20" s="15"/>
      <c r="H20" s="15"/>
      <c r="I20" s="15"/>
      <c r="J20" s="15"/>
      <c r="K20" s="15"/>
      <c r="L20" s="23" t="s">
        <v>431</v>
      </c>
      <c r="M20" s="23">
        <v>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12" customHeight="1" x14ac:dyDescent="0.2">
      <c r="A21" s="89"/>
      <c r="B21" s="88" t="s">
        <v>387</v>
      </c>
      <c r="C21" s="16" t="s">
        <v>388</v>
      </c>
      <c r="D21" s="13"/>
      <c r="E21" s="13">
        <f>IF($D$47&lt;&gt;0,(1-$D$46/$D$47)*0,0)+0</f>
        <v>0</v>
      </c>
      <c r="F21" s="13"/>
      <c r="G21" s="15"/>
      <c r="H21" s="15"/>
      <c r="I21" s="15"/>
      <c r="J21" s="15"/>
      <c r="K21" s="15"/>
      <c r="L21" s="23" t="s">
        <v>432</v>
      </c>
      <c r="M21" s="23">
        <v>0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2" customHeight="1" x14ac:dyDescent="0.2">
      <c r="A22" s="89"/>
      <c r="B22" s="89"/>
      <c r="C22" s="16" t="s">
        <v>389</v>
      </c>
      <c r="D22" s="13"/>
      <c r="E22" s="13"/>
      <c r="F22" s="13"/>
      <c r="G22" s="15"/>
      <c r="H22" s="15"/>
      <c r="I22" s="15"/>
      <c r="J22" s="15"/>
      <c r="K22" s="15"/>
      <c r="L22" s="23" t="s">
        <v>454</v>
      </c>
      <c r="M22" s="23">
        <v>0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ht="12" customHeight="1" x14ac:dyDescent="0.2">
      <c r="A23" s="89"/>
      <c r="B23" s="90"/>
      <c r="C23" s="16" t="s">
        <v>376</v>
      </c>
      <c r="D23" s="13">
        <f>SUM(D$21:D22)</f>
        <v>0</v>
      </c>
      <c r="E23" s="13">
        <f>SUM(E$21:E22)</f>
        <v>0</v>
      </c>
      <c r="F23" s="13">
        <f>SUM(F$21:F22)</f>
        <v>0</v>
      </c>
      <c r="G23" s="15"/>
      <c r="H23" s="15"/>
      <c r="I23" s="15"/>
      <c r="J23" s="15"/>
      <c r="K23" s="15"/>
      <c r="L23" s="23" t="s">
        <v>433</v>
      </c>
      <c r="M23" s="23">
        <v>13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ht="12" customHeight="1" x14ac:dyDescent="0.2">
      <c r="A24" s="89"/>
      <c r="B24" s="88" t="s">
        <v>390</v>
      </c>
      <c r="C24" s="16" t="s">
        <v>391</v>
      </c>
      <c r="D24" s="13">
        <f>$M$14*$M$8</f>
        <v>185892.36805644623</v>
      </c>
      <c r="E24" s="13">
        <f>$M$16*$M$8/$M$12</f>
        <v>13331.837922066195</v>
      </c>
      <c r="F24" s="13">
        <f>$M$17*$M$8/$M$12</f>
        <v>0</v>
      </c>
      <c r="G24" s="15"/>
      <c r="H24" s="15"/>
      <c r="I24" s="15"/>
      <c r="J24" s="15"/>
      <c r="K24" s="15"/>
      <c r="L24" s="23" t="s">
        <v>434</v>
      </c>
      <c r="M24" s="23">
        <v>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ht="12" customHeight="1" x14ac:dyDescent="0.2">
      <c r="A25" s="89"/>
      <c r="B25" s="89"/>
      <c r="C25" s="16" t="s">
        <v>392</v>
      </c>
      <c r="D25" s="13">
        <f>$M$14*$M$10</f>
        <v>0</v>
      </c>
      <c r="E25" s="13">
        <f>$M$16*$M$10/$M$12</f>
        <v>0</v>
      </c>
      <c r="F25" s="13">
        <f>$M$17*$M$10/$M$12</f>
        <v>0</v>
      </c>
      <c r="G25" s="15"/>
      <c r="H25" s="15"/>
      <c r="I25" s="15"/>
      <c r="J25" s="15"/>
      <c r="K25" s="15"/>
      <c r="L25" s="23" t="s">
        <v>435</v>
      </c>
      <c r="M25" s="23">
        <v>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t="12" customHeight="1" x14ac:dyDescent="0.2">
      <c r="A26" s="89"/>
      <c r="B26" s="89"/>
      <c r="C26" s="16" t="s">
        <v>393</v>
      </c>
      <c r="D26" s="13">
        <f>$M$14*$M$9</f>
        <v>0</v>
      </c>
      <c r="E26" s="13">
        <f>$M$16*$M$9/$M$12</f>
        <v>0</v>
      </c>
      <c r="F26" s="13">
        <f>$M$17*$M$9/$M$12</f>
        <v>0</v>
      </c>
      <c r="G26" s="15"/>
      <c r="H26" s="15"/>
      <c r="I26" s="15"/>
      <c r="J26" s="15"/>
      <c r="K26" s="15"/>
      <c r="L26" s="23" t="s">
        <v>436</v>
      </c>
      <c r="M26" s="23">
        <v>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12" customHeight="1" x14ac:dyDescent="0.2">
      <c r="A27" s="89"/>
      <c r="B27" s="89"/>
      <c r="C27" s="16" t="s">
        <v>394</v>
      </c>
      <c r="D27" s="13"/>
      <c r="E27" s="13"/>
      <c r="F27" s="13"/>
      <c r="G27" s="15"/>
      <c r="H27" s="15"/>
      <c r="I27" s="15"/>
      <c r="J27" s="15"/>
      <c r="K27" s="15"/>
      <c r="L27" s="23" t="s">
        <v>437</v>
      </c>
      <c r="M27" s="23">
        <v>0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2" customHeight="1" x14ac:dyDescent="0.2">
      <c r="A28" s="89"/>
      <c r="B28" s="90"/>
      <c r="C28" s="16" t="s">
        <v>376</v>
      </c>
      <c r="D28" s="13">
        <f>SUM(D$24:D27)</f>
        <v>185892.36805644623</v>
      </c>
      <c r="E28" s="13">
        <f>SUM(E$24:E27)</f>
        <v>13331.837922066195</v>
      </c>
      <c r="F28" s="13">
        <f>SUM(F$24:F27)</f>
        <v>0</v>
      </c>
      <c r="G28" s="15"/>
      <c r="H28" s="15"/>
      <c r="I28" s="15"/>
      <c r="J28" s="15"/>
      <c r="K28" s="15"/>
      <c r="L28" s="23" t="s">
        <v>438</v>
      </c>
      <c r="M28" s="23">
        <v>0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ht="12" customHeight="1" x14ac:dyDescent="0.2">
      <c r="A29" s="90"/>
      <c r="B29" s="84" t="s">
        <v>376</v>
      </c>
      <c r="C29" s="86"/>
      <c r="D29" s="13">
        <f>SUMIF(C$2:C28,"SUBTOTAL",D$2:D28)</f>
        <v>6672113.0980033539</v>
      </c>
      <c r="E29" s="13">
        <f>SUMIF(C$2:C28,"SUBTOTAL",E$2:E28)</f>
        <v>-1563469.7192045765</v>
      </c>
      <c r="F29" s="13">
        <f>SUMIF(C$2:C28,"SUBTOTAL",F$2:F28)</f>
        <v>0</v>
      </c>
      <c r="G29" s="15"/>
      <c r="H29" s="15"/>
      <c r="I29" s="15"/>
      <c r="J29" s="15"/>
      <c r="K29" s="15"/>
      <c r="L29" s="23" t="s">
        <v>439</v>
      </c>
      <c r="M29" s="23">
        <v>0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ht="12" customHeight="1" x14ac:dyDescent="0.2">
      <c r="A30" s="88" t="s">
        <v>395</v>
      </c>
      <c r="B30" s="88" t="s">
        <v>368</v>
      </c>
      <c r="C30" s="16" t="s">
        <v>370</v>
      </c>
      <c r="D30" s="13">
        <f>IFERROR($M$5*(+D$31+D$32+D$33+D$34+D$36+D$38+D$39+D$40+D$44)+($M$5^2)*(+D$31+D$32+D$33+D$34+D$36+D$38+D$39+D$40+D$44)/$M$22*(+$E$2+$F$2+$E$3+$F$3+$E$8+$F$8+$E$9+$F$9+$E$11+$F$11+$E$12+$F$12+$E$13+$F$13+$E$14+$F$14+$E$15+$F$15+$E$16+$F$16+$E$17+$F$17+$E$19+$F$19+$E$22+$F$22+$E$24+$F$24+$E$25+$F$25+$E$26+$F$26+$E$27+$F$27+$E$31+$F$31+$E$32+$F$32+$E$33+$F$33+$E$34+$F$34+$E$36+$F$36+$E$38+$F$38+$E$39+$F$39+$E$40+$F$40+$E$44+$F$44),0)</f>
        <v>0</v>
      </c>
      <c r="E30" s="13">
        <f>IF((D30+D$4)&lt;&gt;0,$M$20*D30/(D30+D$4),0)</f>
        <v>0</v>
      </c>
      <c r="F30" s="13">
        <f>IF((D30+D$4)&lt;&gt;0,$M$21*D30/(D30+D$4),0)</f>
        <v>0</v>
      </c>
      <c r="G30" s="15"/>
      <c r="H30" s="15"/>
      <c r="I30" s="15"/>
      <c r="J30" s="15"/>
      <c r="K30" s="15"/>
      <c r="L30" s="23" t="s">
        <v>440</v>
      </c>
      <c r="M30" s="23">
        <v>0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ht="12" customHeight="1" x14ac:dyDescent="0.2">
      <c r="A31" s="89"/>
      <c r="B31" s="89"/>
      <c r="C31" s="16" t="s">
        <v>396</v>
      </c>
      <c r="D31" s="13">
        <v>286370.12</v>
      </c>
      <c r="E31" s="13">
        <v>0</v>
      </c>
      <c r="F31" s="13">
        <v>0</v>
      </c>
      <c r="G31" s="15"/>
      <c r="H31" s="15"/>
      <c r="I31" s="15"/>
      <c r="J31" s="15"/>
      <c r="K31" s="15"/>
      <c r="L31" s="23" t="s">
        <v>441</v>
      </c>
      <c r="M31" s="23">
        <v>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ht="12" customHeight="1" x14ac:dyDescent="0.2">
      <c r="A32" s="89"/>
      <c r="B32" s="89"/>
      <c r="C32" s="16" t="s">
        <v>397</v>
      </c>
      <c r="D32" s="13">
        <v>0</v>
      </c>
      <c r="E32" s="13">
        <v>0</v>
      </c>
      <c r="F32" s="13">
        <v>0</v>
      </c>
      <c r="G32" s="15"/>
      <c r="H32" s="15"/>
      <c r="I32" s="15"/>
      <c r="J32" s="15"/>
      <c r="K32" s="15"/>
      <c r="L32" s="23" t="s">
        <v>442</v>
      </c>
      <c r="M32" s="23">
        <v>0.45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ht="12" customHeight="1" x14ac:dyDescent="0.2">
      <c r="A33" s="89"/>
      <c r="B33" s="89"/>
      <c r="C33" s="16" t="s">
        <v>456</v>
      </c>
      <c r="D33" s="13"/>
      <c r="E33" s="13">
        <v>0</v>
      </c>
      <c r="F33" s="13">
        <v>0</v>
      </c>
      <c r="G33" s="15"/>
      <c r="H33" s="15"/>
      <c r="I33" s="15"/>
      <c r="J33" s="15"/>
      <c r="K33" s="15"/>
      <c r="L33" s="23" t="s">
        <v>443</v>
      </c>
      <c r="M33" s="23">
        <v>0.4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ht="12" customHeight="1" x14ac:dyDescent="0.2">
      <c r="A34" s="89"/>
      <c r="B34" s="89"/>
      <c r="C34" s="16" t="s">
        <v>398</v>
      </c>
      <c r="D34" s="13">
        <v>0</v>
      </c>
      <c r="E34" s="13">
        <v>0</v>
      </c>
      <c r="F34" s="13">
        <v>0</v>
      </c>
      <c r="G34" s="15"/>
      <c r="H34" s="15"/>
      <c r="I34" s="15"/>
      <c r="J34" s="15"/>
      <c r="K34" s="15"/>
      <c r="L34" s="23" t="s">
        <v>444</v>
      </c>
      <c r="M34" s="23">
        <v>0.65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ht="12" customHeight="1" x14ac:dyDescent="0.2">
      <c r="A35" s="89"/>
      <c r="B35" s="90"/>
      <c r="C35" s="16" t="s">
        <v>376</v>
      </c>
      <c r="D35" s="13">
        <f>SUM(D$30:D34)</f>
        <v>286370.12</v>
      </c>
      <c r="E35" s="13">
        <f>SUM(E$30:E34)</f>
        <v>0</v>
      </c>
      <c r="F35" s="13">
        <f>SUM(F$30:F34)</f>
        <v>0</v>
      </c>
      <c r="G35" s="15"/>
      <c r="H35" s="15"/>
      <c r="I35" s="15"/>
      <c r="J35" s="15"/>
      <c r="K35" s="15"/>
      <c r="L35" s="23" t="s">
        <v>445</v>
      </c>
      <c r="M35" s="23">
        <v>0.4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ht="12" customHeight="1" x14ac:dyDescent="0.2">
      <c r="A36" s="89"/>
      <c r="B36" s="88" t="s">
        <v>399</v>
      </c>
      <c r="C36" s="16" t="s">
        <v>400</v>
      </c>
      <c r="D36" s="13">
        <f>$M$14*($M$12-$M$7)</f>
        <v>3436906.3383104918</v>
      </c>
      <c r="E36" s="13">
        <f>$M$16*($M$12-$M$7)/$M$12</f>
        <v>246488.21645955983</v>
      </c>
      <c r="F36" s="13">
        <f>$M$17*($M$12-$M$7)/$M$12</f>
        <v>0</v>
      </c>
      <c r="G36" s="15"/>
      <c r="H36" s="15"/>
      <c r="I36" s="15"/>
      <c r="J36" s="15"/>
      <c r="K36" s="15"/>
      <c r="L36" s="23" t="s">
        <v>446</v>
      </c>
      <c r="M36" s="23">
        <v>0.1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t="12" customHeight="1" x14ac:dyDescent="0.2">
      <c r="A37" s="89"/>
      <c r="B37" s="90"/>
      <c r="C37" s="16" t="s">
        <v>376</v>
      </c>
      <c r="D37" s="13">
        <f>SUM(D$36:D36)</f>
        <v>3436906.3383104918</v>
      </c>
      <c r="E37" s="13">
        <f>SUM(E$36:E36)</f>
        <v>246488.21645955983</v>
      </c>
      <c r="F37" s="13">
        <f>SUM(F$36:F36)</f>
        <v>0</v>
      </c>
      <c r="G37" s="15"/>
      <c r="H37" s="15"/>
      <c r="I37" s="15"/>
      <c r="J37" s="15"/>
      <c r="K37" s="15"/>
      <c r="L37" s="23" t="s">
        <v>447</v>
      </c>
      <c r="M37" s="23">
        <v>0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ht="12" customHeight="1" x14ac:dyDescent="0.2">
      <c r="A38" s="89"/>
      <c r="B38" s="88" t="s">
        <v>377</v>
      </c>
      <c r="C38" s="16" t="s">
        <v>401</v>
      </c>
      <c r="D38" s="13">
        <v>0</v>
      </c>
      <c r="E38" s="13">
        <v>0</v>
      </c>
      <c r="F38" s="13">
        <v>0</v>
      </c>
      <c r="G38" s="15"/>
      <c r="H38" s="15"/>
      <c r="I38" s="15"/>
      <c r="J38" s="15"/>
      <c r="K38" s="15"/>
      <c r="L38" s="23" t="s">
        <v>448</v>
      </c>
      <c r="M38" s="23">
        <f>IFERROR(VLOOKUP("Convencional1RuralNão se aplicaRURALB2",Descontos!B1:U88,VLOOKUP("Convencional1RuralNão se aplicaRURALB2",Descontos!B1:U88,20,FALSE)+12,FALSE),100)</f>
        <v>0.06</v>
      </c>
      <c r="N38" s="15" t="s">
        <v>505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ht="12" customHeight="1" x14ac:dyDescent="0.2">
      <c r="A39" s="89"/>
      <c r="B39" s="89"/>
      <c r="C39" s="16" t="s">
        <v>402</v>
      </c>
      <c r="D39" s="13">
        <v>0</v>
      </c>
      <c r="E39" s="13"/>
      <c r="F39" s="13">
        <f>IF((+$D$11+$D$12+$D$16+$D$17+$D$39)&lt;&gt;0,$M$19*$D$39/(+$D$11+$D$12+$D$16+$D$17+$D$39),0)</f>
        <v>0</v>
      </c>
      <c r="G39" s="15"/>
      <c r="H39" s="15"/>
      <c r="I39" s="15"/>
      <c r="J39" s="15"/>
      <c r="K39" s="15"/>
      <c r="L39" s="23" t="s">
        <v>449</v>
      </c>
      <c r="M39" s="23">
        <f>IFERROR(VLOOKUP("Convencional1RuralCooperativa de eletrificação ruralPlanilha CUSTOB2",Descontos!B1:U88,VLOOKUP("Convencional1RuralCooperativa de eletrificação ruralPlanilha CUSTOB2",Descontos!B1:U88,20,FALSE)+12,FALSE),100)</f>
        <v>0.06</v>
      </c>
      <c r="N39" s="15">
        <v>0.3</v>
      </c>
      <c r="O39" s="15" t="s">
        <v>523</v>
      </c>
      <c r="P39" s="15" t="s">
        <v>524</v>
      </c>
      <c r="Q39" s="15" t="s">
        <v>525</v>
      </c>
      <c r="R39" s="15" t="s">
        <v>526</v>
      </c>
      <c r="S39" s="15" t="s">
        <v>1</v>
      </c>
      <c r="T39" s="15" t="s">
        <v>527</v>
      </c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12" customHeight="1" x14ac:dyDescent="0.3">
      <c r="A40" s="89"/>
      <c r="B40" s="89"/>
      <c r="C40" s="16" t="s">
        <v>403</v>
      </c>
      <c r="D40" s="13"/>
      <c r="E40" s="13"/>
      <c r="F40" s="13"/>
      <c r="G40" s="15"/>
      <c r="H40" s="15"/>
      <c r="I40" s="15"/>
      <c r="J40" s="15"/>
      <c r="K40" s="15"/>
      <c r="L40" s="23" t="s">
        <v>450</v>
      </c>
      <c r="M40" s="23">
        <f>IFERROR(VLOOKUP("Convencional1RuralServiço público de irrigação ruralPlanilha CUSTOB2",Descontos!B1:U88,VLOOKUP("Convencional1RuralServiço público de irrigação ruralPlanilha CUSTOB2",Descontos!B1:U88,20,FALSE)+12,FALSE),100)</f>
        <v>0.08</v>
      </c>
      <c r="N40" s="15">
        <v>0.4</v>
      </c>
      <c r="O40" s="33"/>
      <c r="P40" s="33"/>
      <c r="Q40" s="33"/>
      <c r="R40" s="33"/>
      <c r="S40" s="33"/>
      <c r="T40" s="33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ht="12" customHeight="1" x14ac:dyDescent="0.3">
      <c r="A41" s="89"/>
      <c r="B41" s="90"/>
      <c r="C41" s="16" t="s">
        <v>376</v>
      </c>
      <c r="D41" s="13">
        <f>SUM(D$38:D40)</f>
        <v>0</v>
      </c>
      <c r="E41" s="13">
        <f>SUM(E$38:E40)</f>
        <v>0</v>
      </c>
      <c r="F41" s="13">
        <f>SUM(F$38:F40)</f>
        <v>0</v>
      </c>
      <c r="G41" s="15"/>
      <c r="H41" s="15"/>
      <c r="I41" s="15"/>
      <c r="J41" s="15"/>
      <c r="K41" s="15"/>
      <c r="L41" s="15"/>
      <c r="M41" s="15"/>
      <c r="N41" s="15"/>
      <c r="O41" s="33"/>
      <c r="P41" s="33"/>
      <c r="Q41" s="33"/>
      <c r="R41" s="33"/>
      <c r="S41" s="33"/>
      <c r="T41" s="33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1:30" ht="12" customHeight="1" x14ac:dyDescent="0.3">
      <c r="A42" s="89"/>
      <c r="B42" s="88" t="s">
        <v>387</v>
      </c>
      <c r="C42" s="16" t="s">
        <v>388</v>
      </c>
      <c r="D42" s="13"/>
      <c r="E42" s="13">
        <f>IF($D$47&lt;&gt;0,($D$46/$D$47)* 0,0)+0</f>
        <v>0</v>
      </c>
      <c r="F42" s="13"/>
      <c r="G42" s="15"/>
      <c r="H42" s="15"/>
      <c r="I42" s="15"/>
      <c r="J42" s="15"/>
      <c r="K42" s="15"/>
      <c r="L42" s="15"/>
      <c r="M42" s="15"/>
      <c r="N42" s="15"/>
      <c r="O42" s="33"/>
      <c r="P42" s="33"/>
      <c r="Q42" s="33"/>
      <c r="R42" s="33"/>
      <c r="S42" s="33"/>
      <c r="T42" s="33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1:30" ht="12" customHeight="1" x14ac:dyDescent="0.3">
      <c r="A43" s="89"/>
      <c r="B43" s="90"/>
      <c r="C43" s="16" t="s">
        <v>376</v>
      </c>
      <c r="D43" s="13">
        <f>SUM(D$42:D42)</f>
        <v>0</v>
      </c>
      <c r="E43" s="13">
        <f>SUM(E$42:E42)</f>
        <v>0</v>
      </c>
      <c r="F43" s="13">
        <f>SUM(F$42:F42)</f>
        <v>0</v>
      </c>
      <c r="G43" s="15"/>
      <c r="H43" s="15"/>
      <c r="I43" s="15"/>
      <c r="J43" s="15"/>
      <c r="K43" s="15"/>
      <c r="L43" s="15"/>
      <c r="M43" s="15"/>
      <c r="N43" s="15"/>
      <c r="O43" s="33"/>
      <c r="P43" s="33"/>
      <c r="Q43" s="33"/>
      <c r="R43" s="33"/>
      <c r="S43" s="33"/>
      <c r="T43" s="33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 ht="12" customHeight="1" x14ac:dyDescent="0.3">
      <c r="A44" s="89"/>
      <c r="B44" s="88" t="s">
        <v>390</v>
      </c>
      <c r="C44" s="16" t="s">
        <v>404</v>
      </c>
      <c r="D44" s="13">
        <f>$M$14*$M$11</f>
        <v>0</v>
      </c>
      <c r="E44" s="13">
        <f>$M$16*$M$11/$M$12</f>
        <v>0</v>
      </c>
      <c r="F44" s="13">
        <f>$M$17*$M$11/$M$12</f>
        <v>0</v>
      </c>
      <c r="G44" s="15"/>
      <c r="H44" s="15"/>
      <c r="I44" s="15"/>
      <c r="J44" s="15"/>
      <c r="K44" s="15"/>
      <c r="L44" s="15"/>
      <c r="M44" s="15"/>
      <c r="N44" s="15"/>
      <c r="O44" s="33"/>
      <c r="P44" s="33"/>
      <c r="Q44" s="33"/>
      <c r="R44" s="33"/>
      <c r="S44" s="33"/>
      <c r="T44" s="33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 ht="12" customHeight="1" x14ac:dyDescent="0.3">
      <c r="A45" s="89"/>
      <c r="B45" s="90"/>
      <c r="C45" s="16" t="s">
        <v>376</v>
      </c>
      <c r="D45" s="13">
        <f>SUM(D$44:D44)</f>
        <v>0</v>
      </c>
      <c r="E45" s="13">
        <f>SUM(E$44:E44)</f>
        <v>0</v>
      </c>
      <c r="F45" s="13">
        <f>SUM(F$44:F44)</f>
        <v>0</v>
      </c>
      <c r="G45" s="15"/>
      <c r="H45" s="15"/>
      <c r="I45" s="15"/>
      <c r="J45" s="15"/>
      <c r="K45" s="15"/>
      <c r="L45" s="15"/>
      <c r="M45" s="15"/>
      <c r="N45" s="15"/>
      <c r="O45" s="33"/>
      <c r="P45" s="33"/>
      <c r="Q45" s="33"/>
      <c r="R45" s="33"/>
      <c r="S45" s="33"/>
      <c r="T45" s="33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 ht="12" customHeight="1" x14ac:dyDescent="0.3">
      <c r="A46" s="90"/>
      <c r="B46" s="84" t="s">
        <v>376</v>
      </c>
      <c r="C46" s="86"/>
      <c r="D46" s="13">
        <f>SUMIF(C$30:C45,"SUBTOTAL",D$30:D45)</f>
        <v>3723276.4583104919</v>
      </c>
      <c r="E46" s="13">
        <f>SUMIF(C$30:C45,"SUBTOTAL",E$30:E45)</f>
        <v>246488.21645955983</v>
      </c>
      <c r="F46" s="13">
        <f>SUMIF(C$30:C45,"SUBTOTAL",F$30:F45)</f>
        <v>0</v>
      </c>
      <c r="G46" s="15"/>
      <c r="H46" s="15"/>
      <c r="I46" s="15"/>
      <c r="J46" s="15"/>
      <c r="K46" s="15"/>
      <c r="L46" s="15"/>
      <c r="M46" s="15"/>
      <c r="N46" s="15"/>
      <c r="O46" s="33"/>
      <c r="P46" s="33"/>
      <c r="Q46" s="33"/>
      <c r="R46" s="33"/>
      <c r="S46" s="33"/>
      <c r="T46" s="33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 ht="12" customHeight="1" x14ac:dyDescent="0.3">
      <c r="A47" s="84" t="s">
        <v>405</v>
      </c>
      <c r="B47" s="85"/>
      <c r="C47" s="86"/>
      <c r="D47" s="13">
        <f>SUMIF(C$2:C46,"SUBTOTAL",D$2:D46)</f>
        <v>10395389.556313846</v>
      </c>
      <c r="E47" s="13">
        <f>SUMIF(C$2:C46,"SUBTOTAL",E$2:E46)</f>
        <v>-1316981.5027450167</v>
      </c>
      <c r="F47" s="13">
        <f>SUMIF(C$2:C46,"SUBTOTAL",F$2:F46)</f>
        <v>0</v>
      </c>
      <c r="G47" s="15"/>
      <c r="H47" s="15"/>
      <c r="I47" s="15"/>
      <c r="J47" s="15"/>
      <c r="K47" s="15"/>
      <c r="L47" s="15"/>
      <c r="M47" s="15"/>
      <c r="N47" s="15"/>
      <c r="O47" s="33"/>
      <c r="P47" s="33"/>
      <c r="Q47" s="33"/>
      <c r="R47" s="33"/>
      <c r="S47" s="33"/>
      <c r="T47" s="33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ht="12" customHeight="1" x14ac:dyDescent="0.3">
      <c r="A48" s="82" t="s">
        <v>497</v>
      </c>
      <c r="B48" s="83"/>
      <c r="C48" s="83"/>
      <c r="D48" s="26">
        <f ca="1">'TUSD BE'!$AM$53+'TUSD BE'!$AM$57+'TE BE'!$AB$43</f>
        <v>10395389.556313846</v>
      </c>
      <c r="E48" s="26">
        <f ca="1">'TUSD BF'!$AM$53+'TE BF'!$AB$43</f>
        <v>-1316981.5027450169</v>
      </c>
      <c r="F48" s="26">
        <f ca="1">'TUSD CVA'!$AM$53+'TE CVA'!$AB$43</f>
        <v>0</v>
      </c>
      <c r="H48" s="59">
        <f ca="1">D48+E48</f>
        <v>9078408.0535688289</v>
      </c>
      <c r="L48" s="58"/>
      <c r="M48" s="23"/>
      <c r="O48" s="33"/>
      <c r="P48" s="33"/>
      <c r="Q48" s="33"/>
      <c r="R48" s="33"/>
      <c r="S48" s="33"/>
      <c r="T48" s="33"/>
    </row>
    <row r="49" spans="1:20" ht="12" customHeight="1" x14ac:dyDescent="0.3">
      <c r="A49" s="82" t="s">
        <v>498</v>
      </c>
      <c r="B49" s="83"/>
      <c r="C49" s="83"/>
      <c r="D49" s="27" t="str">
        <f ca="1">IF(ABS(D48-D47)&gt;1,"ERRO","OK")</f>
        <v>OK</v>
      </c>
      <c r="E49" s="27" t="str">
        <f ca="1">IF(ABS(E48-E47)&gt;1,"ERRO","OK")</f>
        <v>OK</v>
      </c>
      <c r="F49" s="27" t="str">
        <f ca="1">IF(ABS(F48-F47)&gt;1,"ERRO","OK")</f>
        <v>OK</v>
      </c>
      <c r="H49" s="60">
        <v>9078408.0535688289</v>
      </c>
      <c r="L49" s="58"/>
      <c r="M49" s="23"/>
      <c r="O49" s="33"/>
      <c r="P49" s="33"/>
      <c r="Q49" s="33"/>
      <c r="R49" s="33"/>
      <c r="S49" s="33"/>
      <c r="T49" s="33"/>
    </row>
    <row r="50" spans="1:20" ht="12" customHeight="1" x14ac:dyDescent="0.3">
      <c r="L50" s="58"/>
      <c r="M50" s="23"/>
      <c r="O50" s="33"/>
      <c r="P50" s="33"/>
      <c r="Q50" s="33"/>
      <c r="R50" s="33"/>
      <c r="S50" s="33"/>
      <c r="T50" s="33"/>
    </row>
    <row r="51" spans="1:20" ht="12" customHeight="1" x14ac:dyDescent="0.3">
      <c r="L51" s="50" t="s">
        <v>451</v>
      </c>
      <c r="M51" s="55">
        <v>0</v>
      </c>
      <c r="O51" s="33"/>
      <c r="P51" s="33"/>
      <c r="Q51" s="33"/>
      <c r="R51" s="33"/>
      <c r="S51" s="33"/>
      <c r="T51" s="33"/>
    </row>
    <row r="52" spans="1:20" ht="12" customHeight="1" x14ac:dyDescent="0.3">
      <c r="O52" s="33"/>
      <c r="P52" s="33"/>
      <c r="Q52" s="33"/>
      <c r="R52" s="33"/>
      <c r="S52" s="33"/>
      <c r="T52" s="33"/>
    </row>
    <row r="53" spans="1:20" ht="12" customHeight="1" x14ac:dyDescent="0.3">
      <c r="O53" s="33"/>
      <c r="P53" s="33"/>
      <c r="Q53" s="33"/>
      <c r="R53" s="33"/>
      <c r="S53" s="33"/>
      <c r="T53" s="33"/>
    </row>
    <row r="54" spans="1:20" ht="12" customHeight="1" x14ac:dyDescent="0.3">
      <c r="O54" s="33"/>
      <c r="P54" s="33"/>
      <c r="Q54" s="33"/>
      <c r="R54" s="33"/>
      <c r="S54" s="33"/>
      <c r="T54" s="33"/>
    </row>
    <row r="55" spans="1:20" ht="12" customHeight="1" x14ac:dyDescent="0.3">
      <c r="O55" s="33"/>
      <c r="P55" s="33"/>
      <c r="Q55" s="33"/>
      <c r="R55" s="33"/>
      <c r="S55" s="33"/>
      <c r="T55" s="33"/>
    </row>
    <row r="56" spans="1:20" ht="12" customHeight="1" x14ac:dyDescent="0.3">
      <c r="O56" s="33"/>
      <c r="P56" s="33"/>
      <c r="Q56" s="33"/>
      <c r="R56" s="33"/>
      <c r="S56" s="33"/>
      <c r="T56" s="33"/>
    </row>
    <row r="57" spans="1:20" ht="12" customHeight="1" x14ac:dyDescent="0.3">
      <c r="O57" s="33"/>
      <c r="P57" s="33"/>
      <c r="Q57" s="33"/>
      <c r="R57" s="33"/>
      <c r="S57" s="33"/>
      <c r="T57" s="33"/>
    </row>
    <row r="58" spans="1:20" ht="12" customHeight="1" x14ac:dyDescent="0.3">
      <c r="O58" s="33"/>
      <c r="P58" s="33"/>
      <c r="Q58" s="33"/>
      <c r="R58" s="33"/>
      <c r="S58" s="33"/>
      <c r="T58" s="33"/>
    </row>
    <row r="59" spans="1:20" ht="12" customHeight="1" x14ac:dyDescent="0.3">
      <c r="O59" s="33"/>
      <c r="P59" s="33"/>
      <c r="Q59" s="33"/>
      <c r="R59" s="33"/>
      <c r="S59" s="33"/>
      <c r="T59" s="33"/>
    </row>
    <row r="60" spans="1:20" ht="12" customHeight="1" x14ac:dyDescent="0.3">
      <c r="O60" s="33"/>
      <c r="P60" s="33"/>
      <c r="Q60" s="33"/>
      <c r="R60" s="33"/>
      <c r="S60" s="33"/>
      <c r="T60" s="33"/>
    </row>
    <row r="61" spans="1:20" ht="12" customHeight="1" x14ac:dyDescent="0.3">
      <c r="O61" s="33"/>
      <c r="P61" s="33"/>
      <c r="Q61" s="33"/>
      <c r="R61" s="33"/>
      <c r="S61" s="33"/>
      <c r="T61" s="33"/>
    </row>
    <row r="62" spans="1:20" ht="12" customHeight="1" x14ac:dyDescent="0.3">
      <c r="O62" s="33"/>
      <c r="P62" s="33"/>
      <c r="Q62" s="33"/>
      <c r="R62" s="33"/>
      <c r="S62" s="33"/>
      <c r="T62" s="33"/>
    </row>
    <row r="63" spans="1:20" ht="12" customHeight="1" x14ac:dyDescent="0.3">
      <c r="O63" s="33"/>
      <c r="P63" s="33"/>
      <c r="Q63" s="33"/>
      <c r="R63" s="33"/>
      <c r="S63" s="33"/>
      <c r="T63" s="33"/>
    </row>
    <row r="64" spans="1:20" ht="12" customHeight="1" x14ac:dyDescent="0.3">
      <c r="O64" s="33"/>
      <c r="P64" s="33"/>
      <c r="Q64" s="33"/>
      <c r="R64" s="33"/>
      <c r="S64" s="33"/>
      <c r="T64" s="33"/>
    </row>
    <row r="65" spans="15:20" ht="12" customHeight="1" x14ac:dyDescent="0.3">
      <c r="O65" s="33"/>
      <c r="P65" s="33"/>
      <c r="Q65" s="33"/>
      <c r="R65" s="33"/>
      <c r="S65" s="33"/>
      <c r="T65" s="33"/>
    </row>
    <row r="66" spans="15:20" ht="12" customHeight="1" x14ac:dyDescent="0.3">
      <c r="O66" s="33"/>
      <c r="P66" s="33"/>
      <c r="Q66" s="33"/>
      <c r="R66" s="33"/>
      <c r="S66" s="33"/>
      <c r="T66" s="33"/>
    </row>
    <row r="67" spans="15:20" ht="12" customHeight="1" x14ac:dyDescent="0.3">
      <c r="O67" s="33"/>
      <c r="P67" s="33"/>
      <c r="Q67" s="33"/>
      <c r="R67" s="33"/>
      <c r="S67" s="33"/>
      <c r="T67" s="33"/>
    </row>
    <row r="68" spans="15:20" ht="12" customHeight="1" x14ac:dyDescent="0.3">
      <c r="O68" s="33"/>
      <c r="P68" s="33"/>
      <c r="Q68" s="33"/>
      <c r="R68" s="33"/>
      <c r="S68" s="33"/>
      <c r="T68" s="33"/>
    </row>
    <row r="69" spans="15:20" ht="12" customHeight="1" x14ac:dyDescent="0.3">
      <c r="O69" s="33"/>
      <c r="P69" s="33"/>
      <c r="Q69" s="33"/>
      <c r="R69" s="33"/>
      <c r="S69" s="33"/>
      <c r="T69" s="33"/>
    </row>
    <row r="70" spans="15:20" ht="12" customHeight="1" x14ac:dyDescent="0.3">
      <c r="O70" s="33"/>
      <c r="P70" s="33"/>
      <c r="Q70" s="33"/>
      <c r="R70" s="33"/>
      <c r="S70" s="33"/>
      <c r="T70" s="33"/>
    </row>
    <row r="71" spans="15:20" ht="12" customHeight="1" x14ac:dyDescent="0.3">
      <c r="O71" s="33"/>
      <c r="P71" s="33"/>
      <c r="Q71" s="33"/>
      <c r="R71" s="33"/>
      <c r="S71" s="33"/>
      <c r="T71" s="33"/>
    </row>
    <row r="72" spans="15:20" ht="12" customHeight="1" x14ac:dyDescent="0.3">
      <c r="O72" s="33"/>
      <c r="P72" s="33"/>
      <c r="Q72" s="33"/>
      <c r="R72" s="33"/>
      <c r="S72" s="33"/>
      <c r="T72" s="33"/>
    </row>
    <row r="73" spans="15:20" ht="12" customHeight="1" x14ac:dyDescent="0.3">
      <c r="O73" s="33"/>
      <c r="P73" s="33"/>
      <c r="Q73" s="33"/>
      <c r="R73" s="33"/>
      <c r="S73" s="33"/>
      <c r="T73" s="33"/>
    </row>
    <row r="74" spans="15:20" ht="12" customHeight="1" x14ac:dyDescent="0.3">
      <c r="O74" s="33"/>
      <c r="P74" s="33"/>
      <c r="Q74" s="33"/>
      <c r="R74" s="33"/>
      <c r="S74" s="33"/>
      <c r="T74" s="33"/>
    </row>
    <row r="75" spans="15:20" ht="12" customHeight="1" x14ac:dyDescent="0.3">
      <c r="O75" s="33"/>
      <c r="P75" s="33"/>
      <c r="Q75" s="33"/>
      <c r="R75" s="33"/>
      <c r="S75" s="33"/>
      <c r="T75" s="33"/>
    </row>
    <row r="76" spans="15:20" ht="12" customHeight="1" x14ac:dyDescent="0.3">
      <c r="O76" s="33"/>
      <c r="P76" s="33"/>
      <c r="Q76" s="33"/>
      <c r="R76" s="33"/>
      <c r="S76" s="33"/>
      <c r="T76" s="33"/>
    </row>
    <row r="77" spans="15:20" ht="12" customHeight="1" x14ac:dyDescent="0.3">
      <c r="O77" s="33"/>
      <c r="P77" s="33"/>
      <c r="Q77" s="33"/>
      <c r="R77" s="33"/>
      <c r="S77" s="33"/>
      <c r="T77" s="33"/>
    </row>
    <row r="78" spans="15:20" ht="12" customHeight="1" x14ac:dyDescent="0.3">
      <c r="O78" s="33"/>
      <c r="P78" s="33"/>
      <c r="Q78" s="33"/>
      <c r="R78" s="33"/>
      <c r="S78" s="33"/>
      <c r="T78" s="33"/>
    </row>
    <row r="79" spans="15:20" ht="12" customHeight="1" x14ac:dyDescent="0.3">
      <c r="O79" s="33"/>
      <c r="P79" s="33"/>
      <c r="Q79" s="33"/>
      <c r="R79" s="33"/>
      <c r="S79" s="33"/>
      <c r="T79" s="33"/>
    </row>
    <row r="80" spans="15:20" ht="12" customHeight="1" x14ac:dyDescent="0.3">
      <c r="O80" s="33"/>
      <c r="P80" s="33"/>
      <c r="Q80" s="33"/>
      <c r="R80" s="33"/>
      <c r="S80" s="33"/>
      <c r="T80" s="33"/>
    </row>
    <row r="81" spans="15:20" ht="12" customHeight="1" x14ac:dyDescent="0.3">
      <c r="O81" s="33"/>
      <c r="P81" s="33"/>
      <c r="Q81" s="33"/>
      <c r="R81" s="33"/>
      <c r="S81" s="33"/>
      <c r="T81" s="33"/>
    </row>
    <row r="82" spans="15:20" ht="12" customHeight="1" x14ac:dyDescent="0.3">
      <c r="O82" s="33"/>
      <c r="P82" s="33"/>
      <c r="Q82" s="33"/>
      <c r="R82" s="33"/>
      <c r="S82" s="33"/>
      <c r="T82" s="33"/>
    </row>
    <row r="83" spans="15:20" ht="12" customHeight="1" x14ac:dyDescent="0.3">
      <c r="O83" s="33"/>
      <c r="P83" s="33"/>
      <c r="Q83" s="33"/>
      <c r="R83" s="33"/>
      <c r="S83" s="33"/>
      <c r="T83" s="33"/>
    </row>
    <row r="84" spans="15:20" ht="12" customHeight="1" x14ac:dyDescent="0.3">
      <c r="O84" s="33"/>
      <c r="P84" s="33"/>
      <c r="Q84" s="33"/>
      <c r="R84" s="33"/>
      <c r="S84" s="33"/>
      <c r="T84" s="33"/>
    </row>
    <row r="85" spans="15:20" ht="12" customHeight="1" x14ac:dyDescent="0.3">
      <c r="O85" s="33"/>
      <c r="P85" s="33"/>
      <c r="Q85" s="33"/>
      <c r="R85" s="33"/>
      <c r="S85" s="33"/>
      <c r="T85" s="33"/>
    </row>
    <row r="86" spans="15:20" ht="12" customHeight="1" x14ac:dyDescent="0.3">
      <c r="O86" s="33"/>
      <c r="P86" s="33"/>
      <c r="Q86" s="33"/>
      <c r="R86" s="33"/>
      <c r="S86" s="33"/>
      <c r="T86" s="33"/>
    </row>
    <row r="87" spans="15:20" ht="12" customHeight="1" x14ac:dyDescent="0.3">
      <c r="O87" s="33"/>
      <c r="P87" s="33"/>
      <c r="Q87" s="33"/>
      <c r="R87" s="33"/>
      <c r="S87" s="33"/>
      <c r="T87" s="33"/>
    </row>
    <row r="88" spans="15:20" ht="12" customHeight="1" x14ac:dyDescent="0.3">
      <c r="O88" s="33"/>
      <c r="P88" s="33"/>
      <c r="Q88" s="33"/>
      <c r="R88" s="33"/>
      <c r="S88" s="33"/>
      <c r="T88" s="33"/>
    </row>
    <row r="89" spans="15:20" ht="12" customHeight="1" x14ac:dyDescent="0.3">
      <c r="O89" s="33"/>
      <c r="P89" s="33"/>
      <c r="Q89" s="33"/>
      <c r="R89" s="33"/>
      <c r="S89" s="33"/>
      <c r="T89" s="33"/>
    </row>
    <row r="90" spans="15:20" ht="12" customHeight="1" x14ac:dyDescent="0.3">
      <c r="O90" s="33"/>
      <c r="P90" s="33"/>
      <c r="Q90" s="33"/>
      <c r="R90" s="33"/>
      <c r="S90" s="33"/>
      <c r="T90" s="33"/>
    </row>
    <row r="91" spans="15:20" ht="12" customHeight="1" x14ac:dyDescent="0.3">
      <c r="O91" s="33"/>
      <c r="P91" s="33"/>
      <c r="Q91" s="33"/>
      <c r="R91" s="33"/>
      <c r="S91" s="33"/>
      <c r="T91" s="33"/>
    </row>
    <row r="92" spans="15:20" ht="12" customHeight="1" x14ac:dyDescent="0.3">
      <c r="O92" s="33"/>
      <c r="P92" s="33"/>
      <c r="Q92" s="33"/>
      <c r="R92" s="33"/>
      <c r="S92" s="33"/>
      <c r="T92" s="33"/>
    </row>
    <row r="93" spans="15:20" ht="12" customHeight="1" x14ac:dyDescent="0.3">
      <c r="O93" s="33"/>
      <c r="P93" s="33"/>
      <c r="Q93" s="33"/>
      <c r="R93" s="33"/>
      <c r="S93" s="33"/>
      <c r="T93" s="33"/>
    </row>
    <row r="94" spans="15:20" ht="12" customHeight="1" x14ac:dyDescent="0.3">
      <c r="O94" s="33"/>
      <c r="P94" s="33"/>
      <c r="Q94" s="33"/>
      <c r="R94" s="33"/>
      <c r="S94" s="33"/>
      <c r="T94" s="33"/>
    </row>
    <row r="95" spans="15:20" ht="12" customHeight="1" x14ac:dyDescent="0.3">
      <c r="O95" s="33"/>
      <c r="P95" s="33"/>
      <c r="Q95" s="33"/>
      <c r="R95" s="33"/>
      <c r="S95" s="33"/>
      <c r="T95" s="33"/>
    </row>
    <row r="96" spans="15:20" ht="12" customHeight="1" x14ac:dyDescent="0.3">
      <c r="O96" s="33"/>
      <c r="P96" s="33"/>
      <c r="Q96" s="33"/>
      <c r="R96" s="33"/>
      <c r="S96" s="33"/>
      <c r="T96" s="33"/>
    </row>
    <row r="97" spans="15:30" ht="12" customHeight="1" x14ac:dyDescent="0.3">
      <c r="O97" s="33"/>
      <c r="P97" s="33"/>
      <c r="Q97" s="33"/>
      <c r="R97" s="33"/>
      <c r="S97" s="33"/>
      <c r="T97" s="33"/>
    </row>
    <row r="98" spans="15:30" ht="12" customHeight="1" x14ac:dyDescent="0.3">
      <c r="O98" s="33"/>
      <c r="P98" s="33"/>
      <c r="Q98" s="33"/>
      <c r="R98" s="33"/>
      <c r="S98" s="33"/>
      <c r="T98" s="33"/>
    </row>
    <row r="99" spans="15:30" ht="12" customHeight="1" x14ac:dyDescent="0.3">
      <c r="O99" s="32"/>
      <c r="P99" s="32"/>
      <c r="Q99" s="32"/>
      <c r="R99" s="32"/>
      <c r="S99" s="32"/>
      <c r="T99" s="32"/>
    </row>
    <row r="100" spans="15:30" ht="12" customHeight="1" x14ac:dyDescent="0.3"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r="101" spans="15:30" ht="12" customHeight="1" x14ac:dyDescent="0.3">
      <c r="O101" s="33" t="s">
        <v>523</v>
      </c>
      <c r="P101" s="33" t="s">
        <v>528</v>
      </c>
      <c r="Q101" s="33" t="s">
        <v>529</v>
      </c>
      <c r="R101" s="33" t="s">
        <v>530</v>
      </c>
      <c r="S101" s="33" t="s">
        <v>531</v>
      </c>
      <c r="T101" s="33" t="s">
        <v>532</v>
      </c>
      <c r="U101" s="33" t="s">
        <v>533</v>
      </c>
      <c r="V101" s="33" t="s">
        <v>534</v>
      </c>
      <c r="W101" s="33"/>
      <c r="X101" s="33"/>
      <c r="Y101" s="33"/>
      <c r="Z101" s="33"/>
      <c r="AA101" s="33"/>
      <c r="AB101" s="33"/>
      <c r="AC101" s="33"/>
      <c r="AD101" s="33"/>
    </row>
    <row r="102" spans="15:30" ht="12" customHeight="1" x14ac:dyDescent="0.3">
      <c r="O102" s="33" t="s">
        <v>32</v>
      </c>
      <c r="P102" s="33" t="s">
        <v>34</v>
      </c>
      <c r="Q102" s="33" t="s">
        <v>33</v>
      </c>
      <c r="R102" s="33" t="s">
        <v>40</v>
      </c>
      <c r="S102" s="33" t="s">
        <v>25</v>
      </c>
      <c r="T102" s="33" t="s">
        <v>535</v>
      </c>
      <c r="U102" s="33">
        <v>4</v>
      </c>
      <c r="V102" s="33">
        <v>0.1</v>
      </c>
      <c r="W102" s="33">
        <v>0.08</v>
      </c>
      <c r="X102" s="33">
        <v>0.06</v>
      </c>
      <c r="Y102" s="33">
        <v>0.04</v>
      </c>
      <c r="Z102" s="33">
        <v>0.02</v>
      </c>
      <c r="AA102" s="33">
        <v>0</v>
      </c>
      <c r="AB102" s="33"/>
      <c r="AC102" s="33"/>
      <c r="AD102" s="33"/>
    </row>
    <row r="103" spans="15:30" ht="12" customHeight="1" x14ac:dyDescent="0.3">
      <c r="O103" s="33" t="s">
        <v>32</v>
      </c>
      <c r="P103" s="33" t="s">
        <v>34</v>
      </c>
      <c r="Q103" s="33" t="s">
        <v>33</v>
      </c>
      <c r="R103" s="33" t="s">
        <v>46</v>
      </c>
      <c r="S103" s="33" t="s">
        <v>47</v>
      </c>
      <c r="T103" s="33" t="s">
        <v>536</v>
      </c>
      <c r="U103" s="33">
        <v>4</v>
      </c>
      <c r="V103" s="33">
        <v>0.15</v>
      </c>
      <c r="W103" s="33">
        <v>0.12</v>
      </c>
      <c r="X103" s="33">
        <v>0.09</v>
      </c>
      <c r="Y103" s="33">
        <v>0.06</v>
      </c>
      <c r="Z103" s="33">
        <v>0.03</v>
      </c>
      <c r="AA103" s="33">
        <v>0</v>
      </c>
      <c r="AB103" s="33"/>
      <c r="AC103" s="33"/>
      <c r="AD103" s="33"/>
    </row>
    <row r="104" spans="15:30" ht="12" customHeight="1" x14ac:dyDescent="0.3">
      <c r="O104" s="33" t="s">
        <v>32</v>
      </c>
      <c r="P104" s="33" t="s">
        <v>537</v>
      </c>
      <c r="Q104" s="33" t="s">
        <v>39</v>
      </c>
      <c r="R104" s="33" t="s">
        <v>40</v>
      </c>
      <c r="S104" s="33" t="s">
        <v>85</v>
      </c>
      <c r="T104" s="33" t="s">
        <v>536</v>
      </c>
      <c r="U104" s="33">
        <v>4</v>
      </c>
      <c r="V104" s="33">
        <v>0.3</v>
      </c>
      <c r="W104" s="33">
        <v>0.24</v>
      </c>
      <c r="X104" s="33">
        <v>0.18</v>
      </c>
      <c r="Y104" s="33">
        <v>0.12</v>
      </c>
      <c r="Z104" s="33">
        <v>0.06</v>
      </c>
      <c r="AA104" s="33">
        <v>0</v>
      </c>
      <c r="AB104" s="33"/>
      <c r="AC104" s="33"/>
      <c r="AD104" s="33"/>
    </row>
    <row r="105" spans="15:30" ht="12" customHeight="1" x14ac:dyDescent="0.3">
      <c r="O105" s="33" t="s">
        <v>32</v>
      </c>
      <c r="P105" s="33" t="s">
        <v>82</v>
      </c>
      <c r="Q105" s="33" t="s">
        <v>39</v>
      </c>
      <c r="R105" s="33" t="s">
        <v>40</v>
      </c>
      <c r="S105" s="33" t="s">
        <v>25</v>
      </c>
      <c r="T105" s="33" t="s">
        <v>40</v>
      </c>
      <c r="U105" s="33">
        <v>4</v>
      </c>
      <c r="V105" s="33">
        <v>0.3</v>
      </c>
      <c r="W105" s="33">
        <v>0.24</v>
      </c>
      <c r="X105" s="33">
        <v>0.18</v>
      </c>
      <c r="Y105" s="33">
        <v>0.12</v>
      </c>
      <c r="Z105" s="33">
        <v>0.06</v>
      </c>
      <c r="AA105" s="33">
        <v>0</v>
      </c>
      <c r="AB105" s="33"/>
      <c r="AC105" s="33"/>
      <c r="AD105" s="33"/>
    </row>
    <row r="106" spans="15:30" ht="12" customHeight="1" x14ac:dyDescent="0.3">
      <c r="O106" s="33" t="s">
        <v>32</v>
      </c>
      <c r="P106" s="33" t="s">
        <v>537</v>
      </c>
      <c r="Q106" s="33" t="s">
        <v>39</v>
      </c>
      <c r="R106" s="33" t="s">
        <v>40</v>
      </c>
      <c r="S106" s="33" t="s">
        <v>86</v>
      </c>
      <c r="T106" s="33" t="s">
        <v>536</v>
      </c>
      <c r="U106" s="33">
        <v>4</v>
      </c>
      <c r="V106" s="33">
        <v>0.4</v>
      </c>
      <c r="W106" s="33">
        <v>0.32</v>
      </c>
      <c r="X106" s="33">
        <v>0.24</v>
      </c>
      <c r="Y106" s="33">
        <v>0.16</v>
      </c>
      <c r="Z106" s="33">
        <v>0.08</v>
      </c>
      <c r="AA106" s="33">
        <v>0</v>
      </c>
      <c r="AB106" s="33"/>
      <c r="AC106" s="33"/>
      <c r="AD106" s="33"/>
    </row>
    <row r="107" spans="15:30" ht="12" customHeight="1" x14ac:dyDescent="0.3">
      <c r="O107" s="33" t="s">
        <v>32</v>
      </c>
      <c r="P107" s="33" t="s">
        <v>82</v>
      </c>
      <c r="Q107" s="33" t="s">
        <v>31</v>
      </c>
      <c r="R107" s="33" t="s">
        <v>46</v>
      </c>
      <c r="S107" s="33" t="s">
        <v>47</v>
      </c>
      <c r="T107" s="33" t="s">
        <v>536</v>
      </c>
      <c r="U107" s="33">
        <v>4</v>
      </c>
      <c r="V107" s="33">
        <v>0.15</v>
      </c>
      <c r="W107" s="33">
        <v>0.12</v>
      </c>
      <c r="X107" s="33">
        <v>0.09</v>
      </c>
      <c r="Y107" s="33">
        <v>0.06</v>
      </c>
      <c r="Z107" s="33">
        <v>0.03</v>
      </c>
      <c r="AA107" s="33">
        <v>0</v>
      </c>
      <c r="AB107" s="33"/>
      <c r="AC107" s="33"/>
      <c r="AD107" s="33"/>
    </row>
    <row r="108" spans="15:30" ht="12" customHeight="1" x14ac:dyDescent="0.3">
      <c r="O108" s="33" t="s">
        <v>32</v>
      </c>
      <c r="P108" s="33" t="s">
        <v>23</v>
      </c>
      <c r="Q108" s="33" t="s">
        <v>33</v>
      </c>
      <c r="R108" s="33" t="s">
        <v>40</v>
      </c>
      <c r="S108" s="33" t="s">
        <v>25</v>
      </c>
      <c r="T108" s="33" t="s">
        <v>535</v>
      </c>
      <c r="U108" s="33">
        <v>4</v>
      </c>
      <c r="V108" s="33">
        <v>0.1</v>
      </c>
      <c r="W108" s="33">
        <v>0.08</v>
      </c>
      <c r="X108" s="33">
        <v>0.06</v>
      </c>
      <c r="Y108" s="33">
        <v>0.04</v>
      </c>
      <c r="Z108" s="33">
        <v>0.02</v>
      </c>
      <c r="AA108" s="33">
        <v>0</v>
      </c>
      <c r="AB108" s="33"/>
      <c r="AC108" s="33"/>
      <c r="AD108" s="33"/>
    </row>
    <row r="109" spans="15:30" ht="12" customHeight="1" x14ac:dyDescent="0.3">
      <c r="O109" s="33" t="s">
        <v>32</v>
      </c>
      <c r="P109" s="33" t="s">
        <v>538</v>
      </c>
      <c r="Q109" s="33" t="s">
        <v>33</v>
      </c>
      <c r="R109" s="33" t="s">
        <v>46</v>
      </c>
      <c r="S109" s="33" t="s">
        <v>47</v>
      </c>
      <c r="T109" s="33" t="s">
        <v>536</v>
      </c>
      <c r="U109" s="33">
        <v>4</v>
      </c>
      <c r="V109" s="33">
        <v>0.15</v>
      </c>
      <c r="W109" s="33">
        <v>0.12</v>
      </c>
      <c r="X109" s="33">
        <v>0.09</v>
      </c>
      <c r="Y109" s="33">
        <v>0.06</v>
      </c>
      <c r="Z109" s="33">
        <v>0.03</v>
      </c>
      <c r="AA109" s="33">
        <v>0</v>
      </c>
      <c r="AB109" s="33"/>
      <c r="AC109" s="33"/>
      <c r="AD109" s="33"/>
    </row>
    <row r="110" spans="15:30" ht="12" customHeight="1" x14ac:dyDescent="0.3">
      <c r="O110" s="33" t="s">
        <v>32</v>
      </c>
      <c r="P110" s="33" t="s">
        <v>23</v>
      </c>
      <c r="Q110" s="33" t="s">
        <v>39</v>
      </c>
      <c r="R110" s="33" t="s">
        <v>40</v>
      </c>
      <c r="S110" s="33" t="s">
        <v>85</v>
      </c>
      <c r="T110" s="33" t="s">
        <v>536</v>
      </c>
      <c r="U110" s="33">
        <v>4</v>
      </c>
      <c r="V110" s="33">
        <v>0.3</v>
      </c>
      <c r="W110" s="33">
        <v>0.24</v>
      </c>
      <c r="X110" s="33">
        <v>0.18</v>
      </c>
      <c r="Y110" s="33">
        <v>0.12</v>
      </c>
      <c r="Z110" s="33">
        <v>0.06</v>
      </c>
      <c r="AA110" s="33">
        <v>0</v>
      </c>
      <c r="AB110" s="33"/>
      <c r="AC110" s="33"/>
      <c r="AD110" s="33"/>
    </row>
    <row r="111" spans="15:30" ht="12" customHeight="1" x14ac:dyDescent="0.3">
      <c r="O111" s="33" t="s">
        <v>32</v>
      </c>
      <c r="P111" s="33" t="s">
        <v>23</v>
      </c>
      <c r="Q111" s="33" t="s">
        <v>39</v>
      </c>
      <c r="R111" s="33" t="s">
        <v>40</v>
      </c>
      <c r="S111" s="33" t="s">
        <v>25</v>
      </c>
      <c r="T111" s="33" t="s">
        <v>40</v>
      </c>
      <c r="U111" s="33">
        <v>4</v>
      </c>
      <c r="V111" s="33">
        <v>0.3</v>
      </c>
      <c r="W111" s="33">
        <v>0.24</v>
      </c>
      <c r="X111" s="33">
        <v>0.18</v>
      </c>
      <c r="Y111" s="33">
        <v>0.12</v>
      </c>
      <c r="Z111" s="33">
        <v>0.06</v>
      </c>
      <c r="AA111" s="33">
        <v>0</v>
      </c>
      <c r="AB111" s="33"/>
      <c r="AC111" s="33"/>
      <c r="AD111" s="33"/>
    </row>
    <row r="112" spans="15:30" ht="12" customHeight="1" x14ac:dyDescent="0.3">
      <c r="O112" s="33" t="s">
        <v>32</v>
      </c>
      <c r="P112" s="33" t="s">
        <v>23</v>
      </c>
      <c r="Q112" s="33" t="s">
        <v>39</v>
      </c>
      <c r="R112" s="33" t="s">
        <v>40</v>
      </c>
      <c r="S112" s="33" t="s">
        <v>86</v>
      </c>
      <c r="T112" s="33" t="s">
        <v>536</v>
      </c>
      <c r="U112" s="33">
        <v>4</v>
      </c>
      <c r="V112" s="33">
        <v>0.4</v>
      </c>
      <c r="W112" s="33">
        <v>0.32</v>
      </c>
      <c r="X112" s="33">
        <v>0.24</v>
      </c>
      <c r="Y112" s="33">
        <v>0.16</v>
      </c>
      <c r="Z112" s="33">
        <v>0.08</v>
      </c>
      <c r="AA112" s="33">
        <v>0</v>
      </c>
      <c r="AB112" s="33"/>
      <c r="AC112" s="33"/>
      <c r="AD112" s="33"/>
    </row>
    <row r="113" spans="15:30" ht="12" customHeight="1" x14ac:dyDescent="0.3">
      <c r="O113" s="33" t="s">
        <v>32</v>
      </c>
      <c r="P113" s="33" t="s">
        <v>23</v>
      </c>
      <c r="Q113" s="33" t="s">
        <v>31</v>
      </c>
      <c r="R113" s="33" t="s">
        <v>46</v>
      </c>
      <c r="S113" s="33" t="s">
        <v>47</v>
      </c>
      <c r="T113" s="33" t="s">
        <v>536</v>
      </c>
      <c r="U113" s="33">
        <v>4</v>
      </c>
      <c r="V113" s="33">
        <v>0.15</v>
      </c>
      <c r="W113" s="33">
        <v>0.12</v>
      </c>
      <c r="X113" s="33">
        <v>0.09</v>
      </c>
      <c r="Y113" s="33">
        <v>0.06</v>
      </c>
      <c r="Z113" s="33">
        <v>0.03</v>
      </c>
      <c r="AA113" s="33">
        <v>0</v>
      </c>
      <c r="AB113" s="33"/>
      <c r="AC113" s="33"/>
      <c r="AD113" s="33"/>
    </row>
    <row r="114" spans="15:30" ht="12" customHeight="1" x14ac:dyDescent="0.3">
      <c r="O114" s="33" t="s">
        <v>32</v>
      </c>
      <c r="P114" s="33" t="s">
        <v>37</v>
      </c>
      <c r="Q114" s="33" t="s">
        <v>33</v>
      </c>
      <c r="R114" s="33" t="s">
        <v>40</v>
      </c>
      <c r="S114" s="33" t="s">
        <v>25</v>
      </c>
      <c r="T114" s="33" t="s">
        <v>535</v>
      </c>
      <c r="U114" s="33">
        <v>4</v>
      </c>
      <c r="V114" s="33">
        <v>0.1</v>
      </c>
      <c r="W114" s="33">
        <v>0.08</v>
      </c>
      <c r="X114" s="33">
        <v>0.06</v>
      </c>
      <c r="Y114" s="33">
        <v>0.04</v>
      </c>
      <c r="Z114" s="33">
        <v>0.02</v>
      </c>
      <c r="AA114" s="33">
        <v>0</v>
      </c>
      <c r="AB114" s="33"/>
      <c r="AC114" s="33"/>
      <c r="AD114" s="33"/>
    </row>
    <row r="115" spans="15:30" ht="12" customHeight="1" x14ac:dyDescent="0.3">
      <c r="O115" s="33" t="s">
        <v>32</v>
      </c>
      <c r="P115" s="33" t="s">
        <v>37</v>
      </c>
      <c r="Q115" s="33" t="s">
        <v>33</v>
      </c>
      <c r="R115" s="33" t="s">
        <v>46</v>
      </c>
      <c r="S115" s="33" t="s">
        <v>47</v>
      </c>
      <c r="T115" s="33" t="s">
        <v>536</v>
      </c>
      <c r="U115" s="33">
        <v>4</v>
      </c>
      <c r="V115" s="33">
        <v>0.15</v>
      </c>
      <c r="W115" s="33">
        <v>0.12</v>
      </c>
      <c r="X115" s="33">
        <v>0.09</v>
      </c>
      <c r="Y115" s="33">
        <v>0.06</v>
      </c>
      <c r="Z115" s="33">
        <v>0.03</v>
      </c>
      <c r="AA115" s="33">
        <v>0</v>
      </c>
      <c r="AB115" s="33"/>
      <c r="AC115" s="33"/>
      <c r="AD115" s="33"/>
    </row>
    <row r="116" spans="15:30" ht="12" customHeight="1" x14ac:dyDescent="0.3"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</row>
    <row r="117" spans="15:30" ht="12" customHeight="1" x14ac:dyDescent="0.3"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</row>
    <row r="118" spans="15:30" ht="12" customHeight="1" x14ac:dyDescent="0.3"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</row>
    <row r="119" spans="15:30" ht="12" customHeight="1" x14ac:dyDescent="0.3"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</row>
    <row r="120" spans="15:30" ht="12" customHeight="1" x14ac:dyDescent="0.3"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</row>
    <row r="121" spans="15:30" ht="12" customHeight="1" x14ac:dyDescent="0.3"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</row>
    <row r="122" spans="15:30" ht="12" customHeight="1" x14ac:dyDescent="0.3"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</row>
    <row r="123" spans="15:30" ht="12" customHeight="1" x14ac:dyDescent="0.3"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</row>
    <row r="124" spans="15:30" ht="12" customHeight="1" x14ac:dyDescent="0.3"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</row>
    <row r="125" spans="15:30" ht="12" customHeight="1" x14ac:dyDescent="0.3"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</row>
    <row r="126" spans="15:30" ht="12" customHeight="1" x14ac:dyDescent="0.3"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</row>
    <row r="127" spans="15:30" ht="12" customHeight="1" x14ac:dyDescent="0.3"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</row>
    <row r="128" spans="15:30" ht="12" customHeight="1" x14ac:dyDescent="0.3"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 spans="15:30" ht="12" customHeight="1" x14ac:dyDescent="0.3"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</row>
    <row r="130" spans="15:30" ht="12" customHeight="1" x14ac:dyDescent="0.3"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</row>
    <row r="131" spans="15:30" ht="12" customHeight="1" x14ac:dyDescent="0.3"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</row>
    <row r="132" spans="15:30" ht="12" customHeight="1" x14ac:dyDescent="0.3"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 spans="15:30" ht="12" customHeight="1" x14ac:dyDescent="0.3"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</row>
    <row r="134" spans="15:30" ht="12" customHeight="1" x14ac:dyDescent="0.3"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 spans="15:30" ht="12" customHeight="1" x14ac:dyDescent="0.3"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</row>
    <row r="136" spans="15:30" ht="12" customHeight="1" x14ac:dyDescent="0.3"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</row>
    <row r="137" spans="15:30" ht="12" customHeight="1" x14ac:dyDescent="0.3"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</row>
    <row r="138" spans="15:30" ht="12" customHeight="1" x14ac:dyDescent="0.3"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</row>
    <row r="139" spans="15:30" ht="12" customHeight="1" x14ac:dyDescent="0.3"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</row>
    <row r="140" spans="15:30" ht="12" customHeight="1" x14ac:dyDescent="0.3"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</row>
    <row r="141" spans="15:30" ht="12" customHeight="1" x14ac:dyDescent="0.3"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</row>
    <row r="142" spans="15:30" ht="12" customHeight="1" x14ac:dyDescent="0.3"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</row>
    <row r="143" spans="15:30" ht="12" customHeight="1" x14ac:dyDescent="0.3"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</row>
    <row r="144" spans="15:30" ht="12" customHeight="1" x14ac:dyDescent="0.3"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</row>
    <row r="145" spans="15:30" ht="12" customHeight="1" x14ac:dyDescent="0.3"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</row>
    <row r="146" spans="15:30" ht="12" customHeight="1" x14ac:dyDescent="0.3"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</row>
    <row r="147" spans="15:30" ht="12" customHeight="1" x14ac:dyDescent="0.3"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</row>
    <row r="148" spans="15:30" ht="12" customHeight="1" x14ac:dyDescent="0.3"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</row>
    <row r="149" spans="15:30" ht="12" customHeight="1" x14ac:dyDescent="0.3"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</row>
    <row r="150" spans="15:30" ht="12" customHeight="1" x14ac:dyDescent="0.3"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</row>
    <row r="151" spans="15:30" ht="12" customHeight="1" x14ac:dyDescent="0.3"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</row>
    <row r="152" spans="15:30" ht="12" customHeight="1" x14ac:dyDescent="0.3"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</row>
    <row r="153" spans="15:30" ht="12" customHeight="1" x14ac:dyDescent="0.3"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 spans="15:30" ht="12" customHeight="1" x14ac:dyDescent="0.3"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 spans="15:30" ht="12" customHeight="1" x14ac:dyDescent="0.3"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 spans="15:30" ht="12" customHeight="1" x14ac:dyDescent="0.3"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 spans="15:30" ht="12" customHeight="1" x14ac:dyDescent="0.3"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 spans="15:30" ht="12" customHeight="1" x14ac:dyDescent="0.3"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 spans="15:30" ht="12" customHeight="1" x14ac:dyDescent="0.3"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 spans="15:30" ht="12" customHeight="1" x14ac:dyDescent="0.3"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 spans="15:30" ht="12" customHeight="1" x14ac:dyDescent="0.3"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 spans="15:30" ht="12" customHeight="1" x14ac:dyDescent="0.3"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 spans="15:30" ht="12" customHeight="1" x14ac:dyDescent="0.3"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 spans="15:30" ht="12" customHeight="1" x14ac:dyDescent="0.3"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</row>
    <row r="165" spans="15:30" ht="12" customHeight="1" x14ac:dyDescent="0.3"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</row>
    <row r="166" spans="15:30" ht="12" customHeight="1" x14ac:dyDescent="0.3"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</row>
    <row r="167" spans="15:30" ht="12" customHeight="1" x14ac:dyDescent="0.3"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 spans="15:30" ht="12" customHeight="1" x14ac:dyDescent="0.3"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</row>
    <row r="169" spans="15:30" ht="12" customHeight="1" x14ac:dyDescent="0.3"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</row>
    <row r="170" spans="15:30" ht="12" customHeight="1" x14ac:dyDescent="0.3"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 spans="15:30" ht="12" customHeight="1" x14ac:dyDescent="0.3"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 spans="15:30" ht="12" customHeight="1" x14ac:dyDescent="0.3"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</row>
    <row r="173" spans="15:30" ht="12" customHeight="1" x14ac:dyDescent="0.3"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</row>
    <row r="174" spans="15:30" ht="12" customHeight="1" x14ac:dyDescent="0.3"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</row>
    <row r="175" spans="15:30" ht="12" customHeight="1" x14ac:dyDescent="0.3"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</row>
    <row r="176" spans="15:30" ht="12" customHeight="1" x14ac:dyDescent="0.3"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spans="15:30" ht="12" customHeight="1" x14ac:dyDescent="0.3"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spans="15:30" ht="12" customHeight="1" x14ac:dyDescent="0.3"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spans="15:30" ht="12" customHeight="1" x14ac:dyDescent="0.3"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spans="15:30" ht="12" customHeight="1" x14ac:dyDescent="0.3"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spans="15:30" ht="12" customHeight="1" x14ac:dyDescent="0.3"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spans="15:30" ht="12" customHeight="1" x14ac:dyDescent="0.3"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spans="15:30" ht="12" customHeight="1" x14ac:dyDescent="0.3"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spans="15:30" ht="12" customHeight="1" x14ac:dyDescent="0.3"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  <row r="185" spans="15:30" ht="12" customHeight="1" x14ac:dyDescent="0.3"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</row>
    <row r="186" spans="15:30" ht="12" customHeight="1" x14ac:dyDescent="0.3"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 spans="15:30" ht="12" customHeight="1" x14ac:dyDescent="0.3"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 spans="15:30" ht="12" customHeight="1" x14ac:dyDescent="0.3"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 spans="15:30" ht="12" customHeight="1" x14ac:dyDescent="0.3"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 spans="15:30" ht="12" customHeight="1" x14ac:dyDescent="0.3"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 spans="15:30" ht="12" customHeight="1" x14ac:dyDescent="0.3"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 spans="15:30" ht="12" customHeight="1" x14ac:dyDescent="0.3"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 spans="15:30" ht="12" customHeight="1" x14ac:dyDescent="0.3"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  <row r="194" spans="15:30" ht="12" customHeight="1" x14ac:dyDescent="0.3"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</row>
    <row r="195" spans="15:30" ht="12" customHeight="1" x14ac:dyDescent="0.3"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</row>
    <row r="196" spans="15:30" ht="12" customHeight="1" x14ac:dyDescent="0.3"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</row>
    <row r="197" spans="15:30" ht="12" customHeight="1" x14ac:dyDescent="0.3"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 spans="15:30" ht="12" customHeight="1" x14ac:dyDescent="0.3"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</row>
    <row r="199" spans="15:30" ht="12" customHeight="1" x14ac:dyDescent="0.3"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</row>
    <row r="200" spans="15:30" ht="12" customHeight="1" x14ac:dyDescent="0.3"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</row>
  </sheetData>
  <mergeCells count="19">
    <mergeCell ref="B42:B43"/>
    <mergeCell ref="B44:B45"/>
    <mergeCell ref="B46:C46"/>
    <mergeCell ref="O1:U1"/>
    <mergeCell ref="A48:C48"/>
    <mergeCell ref="A49:C49"/>
    <mergeCell ref="A47:C47"/>
    <mergeCell ref="L1:M1"/>
    <mergeCell ref="A2:A29"/>
    <mergeCell ref="A30:A46"/>
    <mergeCell ref="B2:B10"/>
    <mergeCell ref="B11:B18"/>
    <mergeCell ref="B19:B20"/>
    <mergeCell ref="B21:B23"/>
    <mergeCell ref="B24:B28"/>
    <mergeCell ref="B29:C29"/>
    <mergeCell ref="B30:B35"/>
    <mergeCell ref="B36:B37"/>
    <mergeCell ref="B38:B4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24DD-72E9-4F34-8A5E-A78BB7BD59FE}">
  <dimension ref="A1:AP51"/>
  <sheetViews>
    <sheetView showGridLines="0" topLeftCell="D41" workbookViewId="0">
      <selection activeCell="K62" sqref="K62:P62"/>
    </sheetView>
  </sheetViews>
  <sheetFormatPr defaultRowHeight="11.25" customHeight="1" x14ac:dyDescent="0.3"/>
  <cols>
    <col min="1" max="1" width="9" style="9" bestFit="1" customWidth="1"/>
    <col min="2" max="2" width="19.441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9" width="7.109375" style="9" bestFit="1" customWidth="1"/>
    <col min="10" max="10" width="8.88671875" style="9"/>
    <col min="11" max="11" width="14.109375" style="9" bestFit="1" customWidth="1"/>
    <col min="12" max="12" width="12.44140625" style="9" bestFit="1" customWidth="1"/>
    <col min="13" max="13" width="9.5546875" style="9" bestFit="1" customWidth="1"/>
    <col min="14" max="14" width="10.77734375" style="9" bestFit="1" customWidth="1"/>
    <col min="15" max="16" width="8.21875" style="9" bestFit="1" customWidth="1"/>
    <col min="17" max="17" width="9.109375" style="9" bestFit="1" customWidth="1"/>
    <col min="18" max="18" width="7.88671875" style="9" bestFit="1" customWidth="1"/>
    <col min="19" max="19" width="8" style="9" bestFit="1" customWidth="1"/>
    <col min="20" max="20" width="9.109375" style="9" bestFit="1" customWidth="1"/>
    <col min="21" max="21" width="7.109375" style="9" bestFit="1" customWidth="1"/>
    <col min="22" max="22" width="7" style="9" bestFit="1" customWidth="1"/>
    <col min="23" max="23" width="9.21875" style="9" bestFit="1" customWidth="1"/>
    <col min="24" max="24" width="9.33203125" style="9" bestFit="1" customWidth="1"/>
    <col min="25" max="25" width="9.109375" style="9" bestFit="1" customWidth="1"/>
    <col min="26" max="26" width="7.109375" style="9" bestFit="1" customWidth="1"/>
    <col min="27" max="27" width="9.33203125" style="9" bestFit="1" customWidth="1"/>
    <col min="28" max="28" width="9.109375" style="9" bestFit="1" customWidth="1"/>
    <col min="29" max="29" width="11.109375" style="9" bestFit="1" customWidth="1"/>
    <col min="30" max="30" width="9.5546875" style="9" bestFit="1" customWidth="1"/>
    <col min="31" max="31" width="7.77734375" style="9" bestFit="1" customWidth="1"/>
    <col min="32" max="32" width="6.88671875" style="9" bestFit="1" customWidth="1"/>
    <col min="33" max="33" width="8.5546875" style="9" bestFit="1" customWidth="1"/>
    <col min="34" max="34" width="14.44140625" style="9" bestFit="1" customWidth="1"/>
    <col min="35" max="35" width="17.5546875" style="9" bestFit="1" customWidth="1"/>
    <col min="36" max="36" width="18.109375" style="9" bestFit="1" customWidth="1"/>
    <col min="37" max="37" width="3.5546875" style="9" bestFit="1" customWidth="1"/>
    <col min="38" max="38" width="8.5546875" style="9" bestFit="1" customWidth="1"/>
    <col min="39" max="39" width="9.5546875" style="9" bestFit="1" customWidth="1"/>
    <col min="40" max="41" width="8.88671875" style="9"/>
    <col min="42" max="42" width="7.21875" style="9" bestFit="1" customWidth="1"/>
    <col min="43" max="16384" width="8.88671875" style="9"/>
  </cols>
  <sheetData>
    <row r="1" spans="1:42" ht="11.25" customHeight="1" x14ac:dyDescent="0.3">
      <c r="A1" s="92" t="s">
        <v>58</v>
      </c>
      <c r="B1" s="92" t="s">
        <v>59</v>
      </c>
      <c r="C1" s="92" t="s">
        <v>60</v>
      </c>
      <c r="D1" s="92" t="s">
        <v>61</v>
      </c>
      <c r="E1" s="92" t="s">
        <v>62</v>
      </c>
      <c r="F1" s="92" t="s">
        <v>15</v>
      </c>
      <c r="G1" s="92" t="s">
        <v>64</v>
      </c>
      <c r="H1" s="92" t="s">
        <v>65</v>
      </c>
      <c r="I1" s="92" t="s">
        <v>468</v>
      </c>
      <c r="J1" s="80"/>
      <c r="L1" s="93" t="s">
        <v>469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P1" s="93" t="s">
        <v>470</v>
      </c>
    </row>
    <row r="2" spans="1:42" ht="11.2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80"/>
      <c r="L2" s="93" t="s">
        <v>367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P2" s="94"/>
    </row>
    <row r="3" spans="1:42" ht="11.25" customHeight="1" x14ac:dyDescent="0.3">
      <c r="A3" s="92"/>
      <c r="B3" s="92"/>
      <c r="C3" s="92"/>
      <c r="D3" s="92"/>
      <c r="E3" s="92"/>
      <c r="F3" s="92"/>
      <c r="G3" s="92"/>
      <c r="H3" s="92"/>
      <c r="I3" s="92"/>
      <c r="J3" s="80"/>
      <c r="L3" s="93" t="s">
        <v>368</v>
      </c>
      <c r="M3" s="93"/>
      <c r="N3" s="93"/>
      <c r="O3" s="93"/>
      <c r="P3" s="93"/>
      <c r="Q3" s="93"/>
      <c r="R3" s="93"/>
      <c r="S3" s="93"/>
      <c r="T3" s="93"/>
      <c r="U3" s="93" t="s">
        <v>377</v>
      </c>
      <c r="V3" s="93"/>
      <c r="W3" s="93"/>
      <c r="X3" s="93"/>
      <c r="Y3" s="93"/>
      <c r="Z3" s="93"/>
      <c r="AA3" s="93"/>
      <c r="AB3" s="93"/>
      <c r="AC3" s="93" t="s">
        <v>385</v>
      </c>
      <c r="AD3" s="93"/>
      <c r="AE3" s="93" t="s">
        <v>387</v>
      </c>
      <c r="AF3" s="93"/>
      <c r="AG3" s="93"/>
      <c r="AH3" s="93" t="s">
        <v>390</v>
      </c>
      <c r="AI3" s="93"/>
      <c r="AJ3" s="93"/>
      <c r="AK3" s="93"/>
      <c r="AL3" s="93"/>
      <c r="AM3" s="93" t="s">
        <v>376</v>
      </c>
      <c r="AP3" s="94"/>
    </row>
    <row r="4" spans="1:42" ht="11.25" customHeight="1" x14ac:dyDescent="0.3">
      <c r="A4" s="92"/>
      <c r="B4" s="92"/>
      <c r="C4" s="92"/>
      <c r="D4" s="92"/>
      <c r="E4" s="92"/>
      <c r="F4" s="92"/>
      <c r="G4" s="92"/>
      <c r="H4" s="92"/>
      <c r="I4" s="92"/>
      <c r="J4" s="80"/>
      <c r="L4" s="10" t="s">
        <v>453</v>
      </c>
      <c r="M4" s="10" t="s">
        <v>369</v>
      </c>
      <c r="N4" s="10" t="s">
        <v>370</v>
      </c>
      <c r="O4" s="10" t="s">
        <v>371</v>
      </c>
      <c r="P4" s="10" t="s">
        <v>372</v>
      </c>
      <c r="Q4" s="10" t="s">
        <v>373</v>
      </c>
      <c r="R4" s="10" t="s">
        <v>374</v>
      </c>
      <c r="S4" s="10" t="s">
        <v>375</v>
      </c>
      <c r="T4" s="10" t="s">
        <v>376</v>
      </c>
      <c r="U4" s="10" t="s">
        <v>378</v>
      </c>
      <c r="V4" s="10" t="s">
        <v>379</v>
      </c>
      <c r="W4" s="10" t="s">
        <v>380</v>
      </c>
      <c r="X4" s="10" t="s">
        <v>381</v>
      </c>
      <c r="Y4" s="10" t="s">
        <v>382</v>
      </c>
      <c r="Z4" s="10" t="s">
        <v>383</v>
      </c>
      <c r="AA4" s="10" t="s">
        <v>384</v>
      </c>
      <c r="AB4" s="10" t="s">
        <v>376</v>
      </c>
      <c r="AC4" s="10" t="s">
        <v>386</v>
      </c>
      <c r="AD4" s="10" t="s">
        <v>376</v>
      </c>
      <c r="AE4" s="10" t="s">
        <v>388</v>
      </c>
      <c r="AF4" s="10" t="s">
        <v>389</v>
      </c>
      <c r="AG4" s="10" t="s">
        <v>376</v>
      </c>
      <c r="AH4" s="10" t="s">
        <v>391</v>
      </c>
      <c r="AI4" s="10" t="s">
        <v>392</v>
      </c>
      <c r="AJ4" s="10" t="s">
        <v>393</v>
      </c>
      <c r="AK4" s="10" t="s">
        <v>394</v>
      </c>
      <c r="AL4" s="10" t="s">
        <v>376</v>
      </c>
      <c r="AM4" s="95"/>
      <c r="AP4" s="94"/>
    </row>
    <row r="5" spans="1:42" ht="11.25" customHeight="1" x14ac:dyDescent="0.3">
      <c r="A5" s="91" t="s">
        <v>33</v>
      </c>
      <c r="B5" s="91" t="s">
        <v>34</v>
      </c>
      <c r="C5" s="91" t="s">
        <v>25</v>
      </c>
      <c r="D5" s="91" t="s">
        <v>25</v>
      </c>
      <c r="E5" s="91" t="s">
        <v>25</v>
      </c>
      <c r="F5" s="91" t="s">
        <v>25</v>
      </c>
      <c r="G5" s="18" t="s">
        <v>72</v>
      </c>
      <c r="H5" s="18" t="s">
        <v>71</v>
      </c>
      <c r="I5" s="18">
        <f>'MERCADO TUSD'!$U$2</f>
        <v>8229</v>
      </c>
      <c r="J5" s="15"/>
      <c r="L5" s="13"/>
      <c r="M5" s="13"/>
      <c r="N5" s="13"/>
      <c r="O5" s="13"/>
      <c r="P5" s="13"/>
      <c r="Q5" s="13"/>
      <c r="R5" s="13"/>
      <c r="S5" s="13"/>
      <c r="T5" s="13"/>
      <c r="U5" s="13">
        <v>0</v>
      </c>
      <c r="V5" s="13">
        <v>0</v>
      </c>
      <c r="W5" s="13">
        <v>0</v>
      </c>
      <c r="X5" s="13">
        <v>0</v>
      </c>
      <c r="Y5" s="13">
        <v>30.4818</v>
      </c>
      <c r="Z5" s="13">
        <v>0</v>
      </c>
      <c r="AA5" s="13">
        <v>0</v>
      </c>
      <c r="AB5" s="13"/>
      <c r="AC5" s="13">
        <v>48.090899999999998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P5" s="13">
        <v>1</v>
      </c>
    </row>
    <row r="6" spans="1:42" ht="11.25" customHeight="1" x14ac:dyDescent="0.3">
      <c r="A6" s="91"/>
      <c r="B6" s="91"/>
      <c r="C6" s="91"/>
      <c r="D6" s="91"/>
      <c r="E6" s="91"/>
      <c r="F6" s="91"/>
      <c r="G6" s="18" t="s">
        <v>73</v>
      </c>
      <c r="H6" s="18" t="s">
        <v>71</v>
      </c>
      <c r="I6" s="18">
        <f>'MERCADO TUSD'!$U$3</f>
        <v>8328</v>
      </c>
      <c r="J6" s="15"/>
      <c r="L6" s="13"/>
      <c r="M6" s="13"/>
      <c r="N6" s="13"/>
      <c r="O6" s="13"/>
      <c r="P6" s="13"/>
      <c r="Q6" s="13"/>
      <c r="R6" s="13"/>
      <c r="S6" s="13"/>
      <c r="T6" s="13"/>
      <c r="U6" s="13">
        <v>0</v>
      </c>
      <c r="V6" s="13">
        <v>0</v>
      </c>
      <c r="W6" s="13">
        <v>0</v>
      </c>
      <c r="X6" s="13">
        <v>0</v>
      </c>
      <c r="Y6" s="13">
        <v>12.320399999999999</v>
      </c>
      <c r="Z6" s="13">
        <v>0</v>
      </c>
      <c r="AA6" s="13">
        <v>0</v>
      </c>
      <c r="AB6" s="13"/>
      <c r="AC6" s="13">
        <v>13.4383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P6" s="13">
        <v>1</v>
      </c>
    </row>
    <row r="7" spans="1:42" ht="11.25" customHeight="1" x14ac:dyDescent="0.3">
      <c r="A7" s="91"/>
      <c r="B7" s="91"/>
      <c r="C7" s="91"/>
      <c r="D7" s="91"/>
      <c r="E7" s="91"/>
      <c r="F7" s="91"/>
      <c r="G7" s="18" t="s">
        <v>74</v>
      </c>
      <c r="H7" s="18" t="s">
        <v>68</v>
      </c>
      <c r="I7" s="18">
        <f>'MERCADO TUSD'!$U$4</f>
        <v>2993.7760000000003</v>
      </c>
      <c r="J7" s="15"/>
      <c r="L7" s="13"/>
      <c r="M7" s="13"/>
      <c r="N7" s="13"/>
      <c r="O7" s="13"/>
      <c r="P7" s="13"/>
      <c r="Q7" s="13"/>
      <c r="R7" s="13"/>
      <c r="S7" s="13"/>
      <c r="T7" s="13"/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/>
      <c r="AC7" s="13">
        <v>0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P7" s="13">
        <v>1</v>
      </c>
    </row>
    <row r="8" spans="1:42" ht="11.25" customHeight="1" x14ac:dyDescent="0.3">
      <c r="A8" s="91"/>
      <c r="B8" s="91"/>
      <c r="C8" s="91"/>
      <c r="D8" s="91"/>
      <c r="E8" s="17" t="s">
        <v>75</v>
      </c>
      <c r="F8" s="17" t="s">
        <v>25</v>
      </c>
      <c r="G8" s="18" t="s">
        <v>74</v>
      </c>
      <c r="H8" s="18" t="s">
        <v>68</v>
      </c>
      <c r="I8" s="18">
        <f>'MERCADO TUSD'!$U$5</f>
        <v>0</v>
      </c>
      <c r="J8" s="15"/>
      <c r="L8" s="13"/>
      <c r="M8" s="13"/>
      <c r="N8" s="13"/>
      <c r="O8" s="13"/>
      <c r="P8" s="13"/>
      <c r="Q8" s="13"/>
      <c r="R8" s="13"/>
      <c r="S8" s="13"/>
      <c r="T8" s="13"/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/>
      <c r="AC8" s="13">
        <v>0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P8" s="13">
        <v>1</v>
      </c>
    </row>
    <row r="9" spans="1:42" ht="11.25" customHeight="1" x14ac:dyDescent="0.3">
      <c r="A9" s="91"/>
      <c r="B9" s="17" t="s">
        <v>76</v>
      </c>
      <c r="C9" s="17" t="s">
        <v>25</v>
      </c>
      <c r="D9" s="17" t="s">
        <v>25</v>
      </c>
      <c r="E9" s="17" t="s">
        <v>25</v>
      </c>
      <c r="F9" s="17" t="s">
        <v>25</v>
      </c>
      <c r="G9" s="18" t="s">
        <v>9</v>
      </c>
      <c r="H9" s="18" t="s">
        <v>71</v>
      </c>
      <c r="I9" s="18">
        <f>'MERCADO TUSD'!$U$6</f>
        <v>0</v>
      </c>
      <c r="J9" s="15"/>
      <c r="L9" s="13"/>
      <c r="M9" s="13"/>
      <c r="N9" s="13"/>
      <c r="O9" s="13"/>
      <c r="P9" s="13"/>
      <c r="Q9" s="13"/>
      <c r="R9" s="13"/>
      <c r="S9" s="13"/>
      <c r="T9" s="13"/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/>
      <c r="AC9" s="13">
        <v>6.0793999999999997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P9" s="13"/>
    </row>
    <row r="10" spans="1:42" ht="11.25" customHeight="1" x14ac:dyDescent="0.3">
      <c r="A10" s="91"/>
      <c r="B10" s="91" t="s">
        <v>37</v>
      </c>
      <c r="C10" s="91" t="s">
        <v>25</v>
      </c>
      <c r="D10" s="91" t="s">
        <v>25</v>
      </c>
      <c r="E10" s="91" t="s">
        <v>25</v>
      </c>
      <c r="F10" s="91" t="s">
        <v>25</v>
      </c>
      <c r="G10" s="18" t="s">
        <v>9</v>
      </c>
      <c r="H10" s="18" t="s">
        <v>71</v>
      </c>
      <c r="I10" s="18">
        <f>'MERCADO TUSD'!$U$7</f>
        <v>36616</v>
      </c>
      <c r="J10" s="15"/>
      <c r="L10" s="13"/>
      <c r="M10" s="13"/>
      <c r="N10" s="13"/>
      <c r="O10" s="13"/>
      <c r="P10" s="13"/>
      <c r="Q10" s="13"/>
      <c r="R10" s="13"/>
      <c r="S10" s="13"/>
      <c r="T10" s="13"/>
      <c r="U10" s="13">
        <v>0</v>
      </c>
      <c r="V10" s="13">
        <v>0</v>
      </c>
      <c r="W10" s="13">
        <v>0</v>
      </c>
      <c r="X10" s="13">
        <v>0</v>
      </c>
      <c r="Y10" s="13">
        <v>12.320399999999999</v>
      </c>
      <c r="Z10" s="13">
        <v>0</v>
      </c>
      <c r="AA10" s="13">
        <v>0</v>
      </c>
      <c r="AB10" s="13"/>
      <c r="AC10" s="13">
        <v>13.4383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P10" s="13">
        <v>1</v>
      </c>
    </row>
    <row r="11" spans="1:42" ht="11.25" customHeight="1" x14ac:dyDescent="0.3">
      <c r="A11" s="91"/>
      <c r="B11" s="91"/>
      <c r="C11" s="91"/>
      <c r="D11" s="91"/>
      <c r="E11" s="91"/>
      <c r="F11" s="91"/>
      <c r="G11" s="18" t="s">
        <v>69</v>
      </c>
      <c r="H11" s="18" t="s">
        <v>68</v>
      </c>
      <c r="I11" s="18">
        <f>'MERCADO TUSD'!$U$8</f>
        <v>561.45399999999995</v>
      </c>
      <c r="J11" s="15"/>
      <c r="L11" s="13"/>
      <c r="M11" s="13"/>
      <c r="N11" s="13"/>
      <c r="O11" s="13"/>
      <c r="P11" s="13"/>
      <c r="Q11" s="13"/>
      <c r="R11" s="13"/>
      <c r="S11" s="13"/>
      <c r="T11" s="13"/>
      <c r="U11" s="13">
        <v>0</v>
      </c>
      <c r="V11" s="13">
        <v>0</v>
      </c>
      <c r="W11" s="13">
        <v>0</v>
      </c>
      <c r="X11" s="13">
        <v>0</v>
      </c>
      <c r="Y11" s="13">
        <v>733.38139999999999</v>
      </c>
      <c r="Z11" s="13">
        <v>0</v>
      </c>
      <c r="AA11" s="13">
        <v>0</v>
      </c>
      <c r="AB11" s="13"/>
      <c r="AC11" s="13">
        <v>1156.5864999999999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P11" s="13">
        <v>1</v>
      </c>
    </row>
    <row r="12" spans="1:42" ht="11.25" customHeight="1" x14ac:dyDescent="0.3">
      <c r="A12" s="91"/>
      <c r="B12" s="91"/>
      <c r="C12" s="91"/>
      <c r="D12" s="91"/>
      <c r="E12" s="91"/>
      <c r="F12" s="91"/>
      <c r="G12" s="18" t="s">
        <v>70</v>
      </c>
      <c r="H12" s="18" t="s">
        <v>68</v>
      </c>
      <c r="I12" s="18">
        <f>'MERCADO TUSD'!$U$9</f>
        <v>7702.3809999999985</v>
      </c>
      <c r="J12" s="15"/>
      <c r="L12" s="13"/>
      <c r="M12" s="13"/>
      <c r="N12" s="13"/>
      <c r="O12" s="13"/>
      <c r="P12" s="13"/>
      <c r="Q12" s="13"/>
      <c r="R12" s="13"/>
      <c r="S12" s="13"/>
      <c r="T12" s="13"/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/>
      <c r="AC12" s="13">
        <v>0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P12" s="13">
        <v>1</v>
      </c>
    </row>
    <row r="13" spans="1:42" ht="11.25" customHeight="1" x14ac:dyDescent="0.3">
      <c r="A13" s="91"/>
      <c r="B13" s="91"/>
      <c r="C13" s="91"/>
      <c r="D13" s="91"/>
      <c r="E13" s="91" t="s">
        <v>75</v>
      </c>
      <c r="F13" s="91" t="s">
        <v>25</v>
      </c>
      <c r="G13" s="18" t="s">
        <v>69</v>
      </c>
      <c r="H13" s="18" t="s">
        <v>68</v>
      </c>
      <c r="I13" s="18">
        <f>'MERCADO TUSD'!$U$10</f>
        <v>0</v>
      </c>
      <c r="J13" s="15"/>
      <c r="L13" s="13"/>
      <c r="M13" s="13"/>
      <c r="N13" s="13"/>
      <c r="O13" s="13"/>
      <c r="P13" s="13"/>
      <c r="Q13" s="13"/>
      <c r="R13" s="13"/>
      <c r="S13" s="13"/>
      <c r="T13" s="13"/>
      <c r="U13" s="13">
        <v>0</v>
      </c>
      <c r="V13" s="13">
        <v>0</v>
      </c>
      <c r="W13" s="13">
        <v>0</v>
      </c>
      <c r="X13" s="13">
        <v>0</v>
      </c>
      <c r="Y13" s="13">
        <v>733.38139999999999</v>
      </c>
      <c r="Z13" s="13">
        <v>0</v>
      </c>
      <c r="AA13" s="13">
        <v>0</v>
      </c>
      <c r="AB13" s="13"/>
      <c r="AC13" s="13">
        <v>1156.5864999999999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P13" s="13">
        <v>1</v>
      </c>
    </row>
    <row r="14" spans="1:42" ht="11.25" customHeight="1" x14ac:dyDescent="0.3">
      <c r="A14" s="91"/>
      <c r="B14" s="91"/>
      <c r="C14" s="91"/>
      <c r="D14" s="91"/>
      <c r="E14" s="91"/>
      <c r="F14" s="91"/>
      <c r="G14" s="18" t="s">
        <v>70</v>
      </c>
      <c r="H14" s="18" t="s">
        <v>68</v>
      </c>
      <c r="I14" s="18">
        <f>'MERCADO TUSD'!$U$11</f>
        <v>0</v>
      </c>
      <c r="J14" s="15"/>
      <c r="L14" s="13"/>
      <c r="M14" s="13"/>
      <c r="N14" s="13"/>
      <c r="O14" s="13"/>
      <c r="P14" s="13"/>
      <c r="Q14" s="13"/>
      <c r="R14" s="13"/>
      <c r="S14" s="13"/>
      <c r="T14" s="13"/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/>
      <c r="AC14" s="13">
        <v>0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P14" s="13">
        <v>1</v>
      </c>
    </row>
    <row r="15" spans="1:42" ht="11.25" customHeight="1" x14ac:dyDescent="0.3">
      <c r="A15" s="91" t="s">
        <v>77</v>
      </c>
      <c r="B15" s="91" t="s">
        <v>76</v>
      </c>
      <c r="C15" s="91" t="s">
        <v>25</v>
      </c>
      <c r="D15" s="91" t="s">
        <v>25</v>
      </c>
      <c r="E15" s="17" t="s">
        <v>78</v>
      </c>
      <c r="F15" s="17" t="s">
        <v>25</v>
      </c>
      <c r="G15" s="18" t="s">
        <v>9</v>
      </c>
      <c r="H15" s="18" t="s">
        <v>71</v>
      </c>
      <c r="I15" s="18">
        <f>'MERCADO TUSD'!$U$12+0.00000001</f>
        <v>1E-8</v>
      </c>
      <c r="J15" s="15"/>
      <c r="L15" s="13"/>
      <c r="M15" s="13"/>
      <c r="N15" s="13"/>
      <c r="O15" s="13"/>
      <c r="P15" s="13"/>
      <c r="Q15" s="13"/>
      <c r="R15" s="13"/>
      <c r="S15" s="13"/>
      <c r="T15" s="13"/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/>
      <c r="AC15" s="13">
        <v>6.2709000000000001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P15" s="13"/>
    </row>
    <row r="16" spans="1:42" ht="11.25" customHeight="1" x14ac:dyDescent="0.3">
      <c r="A16" s="91"/>
      <c r="B16" s="91"/>
      <c r="C16" s="91"/>
      <c r="D16" s="91"/>
      <c r="E16" s="17" t="s">
        <v>79</v>
      </c>
      <c r="F16" s="17" t="s">
        <v>25</v>
      </c>
      <c r="G16" s="18" t="s">
        <v>9</v>
      </c>
      <c r="H16" s="18" t="s">
        <v>71</v>
      </c>
      <c r="I16" s="18">
        <f>'MERCADO TUSD'!$U$13+0.00000001</f>
        <v>1E-8</v>
      </c>
      <c r="J16" s="15"/>
      <c r="L16" s="13"/>
      <c r="M16" s="13"/>
      <c r="N16" s="13"/>
      <c r="O16" s="13"/>
      <c r="P16" s="13"/>
      <c r="Q16" s="13"/>
      <c r="R16" s="13"/>
      <c r="S16" s="13"/>
      <c r="T16" s="13"/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/>
      <c r="AC16" s="13">
        <v>12.7584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P16" s="13"/>
    </row>
    <row r="17" spans="1:42" ht="11.25" customHeight="1" x14ac:dyDescent="0.3">
      <c r="A17" s="91" t="s">
        <v>22</v>
      </c>
      <c r="B17" s="91" t="s">
        <v>82</v>
      </c>
      <c r="C17" s="91" t="s">
        <v>24</v>
      </c>
      <c r="D17" s="91" t="s">
        <v>24</v>
      </c>
      <c r="E17" s="91" t="s">
        <v>25</v>
      </c>
      <c r="F17" s="91" t="s">
        <v>25</v>
      </c>
      <c r="G17" s="18" t="s">
        <v>69</v>
      </c>
      <c r="H17" s="18" t="s">
        <v>68</v>
      </c>
      <c r="I17" s="18">
        <f>'MERCADO TUSD'!$U$14</f>
        <v>0</v>
      </c>
      <c r="J17" s="15"/>
      <c r="L17" s="13"/>
      <c r="M17" s="13"/>
      <c r="N17" s="13"/>
      <c r="O17" s="13"/>
      <c r="P17" s="13"/>
      <c r="Q17" s="13"/>
      <c r="R17" s="13"/>
      <c r="S17" s="13"/>
      <c r="T17" s="13"/>
      <c r="U17" s="13">
        <v>0</v>
      </c>
      <c r="V17" s="13">
        <v>0</v>
      </c>
      <c r="W17" s="13">
        <v>0</v>
      </c>
      <c r="X17" s="13">
        <v>0</v>
      </c>
      <c r="Y17" s="13">
        <v>268.49579999999997</v>
      </c>
      <c r="Z17" s="13">
        <v>0</v>
      </c>
      <c r="AA17" s="13">
        <v>0</v>
      </c>
      <c r="AB17" s="13"/>
      <c r="AC17" s="13">
        <v>540.39089999999999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P17" s="13">
        <v>1</v>
      </c>
    </row>
    <row r="18" spans="1:42" ht="11.25" customHeight="1" x14ac:dyDescent="0.3">
      <c r="A18" s="91"/>
      <c r="B18" s="91"/>
      <c r="C18" s="91"/>
      <c r="D18" s="91"/>
      <c r="E18" s="91"/>
      <c r="F18" s="91"/>
      <c r="G18" s="18" t="s">
        <v>80</v>
      </c>
      <c r="H18" s="18" t="s">
        <v>68</v>
      </c>
      <c r="I18" s="18">
        <f>'MERCADO TUSD'!$U$15</f>
        <v>0</v>
      </c>
      <c r="J18" s="15"/>
      <c r="L18" s="13"/>
      <c r="M18" s="13"/>
      <c r="N18" s="13"/>
      <c r="O18" s="13"/>
      <c r="P18" s="13"/>
      <c r="Q18" s="13"/>
      <c r="R18" s="13"/>
      <c r="S18" s="13"/>
      <c r="T18" s="13"/>
      <c r="U18" s="13">
        <v>0</v>
      </c>
      <c r="V18" s="13">
        <v>0</v>
      </c>
      <c r="W18" s="13">
        <v>0</v>
      </c>
      <c r="X18" s="13">
        <v>0</v>
      </c>
      <c r="Y18" s="13">
        <v>161.0975</v>
      </c>
      <c r="Z18" s="13">
        <v>0</v>
      </c>
      <c r="AA18" s="13">
        <v>0</v>
      </c>
      <c r="AB18" s="13"/>
      <c r="AC18" s="13">
        <v>324.23469999999998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P18" s="13">
        <v>1</v>
      </c>
    </row>
    <row r="19" spans="1:42" ht="11.25" customHeight="1" x14ac:dyDescent="0.3">
      <c r="A19" s="91"/>
      <c r="B19" s="91"/>
      <c r="C19" s="91"/>
      <c r="D19" s="91"/>
      <c r="E19" s="91"/>
      <c r="F19" s="91"/>
      <c r="G19" s="18" t="s">
        <v>70</v>
      </c>
      <c r="H19" s="18" t="s">
        <v>68</v>
      </c>
      <c r="I19" s="18">
        <f>'MERCADO TUSD'!$U$16</f>
        <v>0</v>
      </c>
      <c r="J19" s="15"/>
      <c r="L19" s="13"/>
      <c r="M19" s="13"/>
      <c r="N19" s="13"/>
      <c r="O19" s="13"/>
      <c r="P19" s="13"/>
      <c r="Q19" s="13"/>
      <c r="R19" s="13"/>
      <c r="S19" s="13"/>
      <c r="T19" s="13"/>
      <c r="U19" s="13">
        <v>0</v>
      </c>
      <c r="V19" s="13">
        <v>0</v>
      </c>
      <c r="W19" s="13">
        <v>0</v>
      </c>
      <c r="X19" s="13">
        <v>0</v>
      </c>
      <c r="Y19" s="13">
        <v>53.748199999999997</v>
      </c>
      <c r="Z19" s="13">
        <v>0</v>
      </c>
      <c r="AA19" s="13">
        <v>0</v>
      </c>
      <c r="AB19" s="13"/>
      <c r="AC19" s="13">
        <v>108.07810000000001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P19" s="13">
        <v>1</v>
      </c>
    </row>
    <row r="20" spans="1:42" ht="11.25" customHeight="1" x14ac:dyDescent="0.3">
      <c r="A20" s="91"/>
      <c r="B20" s="91" t="s">
        <v>23</v>
      </c>
      <c r="C20" s="91" t="s">
        <v>24</v>
      </c>
      <c r="D20" s="17" t="s">
        <v>24</v>
      </c>
      <c r="E20" s="17" t="s">
        <v>25</v>
      </c>
      <c r="F20" s="17" t="s">
        <v>25</v>
      </c>
      <c r="G20" s="18" t="s">
        <v>74</v>
      </c>
      <c r="H20" s="18" t="s">
        <v>68</v>
      </c>
      <c r="I20" s="18">
        <f>'MERCADO TUSD'!$U$17</f>
        <v>434.28799999999995</v>
      </c>
      <c r="J20" s="15"/>
      <c r="L20" s="13"/>
      <c r="M20" s="13"/>
      <c r="N20" s="13"/>
      <c r="O20" s="13"/>
      <c r="P20" s="13"/>
      <c r="Q20" s="13"/>
      <c r="R20" s="13"/>
      <c r="S20" s="13"/>
      <c r="T20" s="13"/>
      <c r="U20" s="13">
        <v>0</v>
      </c>
      <c r="V20" s="13">
        <v>0</v>
      </c>
      <c r="W20" s="13">
        <v>0</v>
      </c>
      <c r="X20" s="13">
        <v>0</v>
      </c>
      <c r="Y20" s="13">
        <v>99.397499999999994</v>
      </c>
      <c r="Z20" s="13">
        <v>0</v>
      </c>
      <c r="AA20" s="13">
        <v>0</v>
      </c>
      <c r="AB20" s="13"/>
      <c r="AC20" s="13">
        <v>200.1448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P20" s="13">
        <v>1</v>
      </c>
    </row>
    <row r="21" spans="1:42" ht="11.25" customHeight="1" x14ac:dyDescent="0.3">
      <c r="A21" s="91"/>
      <c r="B21" s="91"/>
      <c r="C21" s="91"/>
      <c r="D21" s="17" t="s">
        <v>27</v>
      </c>
      <c r="E21" s="17" t="s">
        <v>25</v>
      </c>
      <c r="F21" s="17" t="s">
        <v>25</v>
      </c>
      <c r="G21" s="18" t="s">
        <v>74</v>
      </c>
      <c r="H21" s="18" t="s">
        <v>68</v>
      </c>
      <c r="I21" s="18">
        <f>'MERCADO TUSD'!$U$18</f>
        <v>2.37</v>
      </c>
      <c r="J21" s="15"/>
      <c r="L21" s="13"/>
      <c r="M21" s="13"/>
      <c r="N21" s="13"/>
      <c r="O21" s="13"/>
      <c r="P21" s="13"/>
      <c r="Q21" s="13"/>
      <c r="R21" s="13"/>
      <c r="S21" s="13"/>
      <c r="T21" s="13"/>
      <c r="U21" s="13">
        <v>0</v>
      </c>
      <c r="V21" s="13">
        <v>0</v>
      </c>
      <c r="W21" s="13">
        <v>0</v>
      </c>
      <c r="X21" s="13">
        <v>0</v>
      </c>
      <c r="Y21" s="13">
        <f>(1 - CUSTOS!$M$24)*99.3975</f>
        <v>99.397499999999994</v>
      </c>
      <c r="Z21" s="13">
        <v>0</v>
      </c>
      <c r="AA21" s="13">
        <v>0</v>
      </c>
      <c r="AB21" s="13"/>
      <c r="AC21" s="13">
        <f>(1 - CUSTOS!$M$24)*200.1448</f>
        <v>200.1448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P21" s="13">
        <f>IF((1 - CUSTOS!$M$24)&lt;&gt;0,1/(1 - CUSTOS!$M$24),1)</f>
        <v>1</v>
      </c>
    </row>
    <row r="22" spans="1:42" ht="11.25" customHeight="1" x14ac:dyDescent="0.3">
      <c r="A22" s="91"/>
      <c r="B22" s="91"/>
      <c r="C22" s="91"/>
      <c r="D22" s="17" t="s">
        <v>28</v>
      </c>
      <c r="E22" s="17" t="s">
        <v>25</v>
      </c>
      <c r="F22" s="17" t="s">
        <v>25</v>
      </c>
      <c r="G22" s="18" t="s">
        <v>74</v>
      </c>
      <c r="H22" s="18" t="s">
        <v>68</v>
      </c>
      <c r="I22" s="18">
        <f>'MERCADO TUSD'!$U$19</f>
        <v>4.327</v>
      </c>
      <c r="J22" s="15"/>
      <c r="L22" s="13"/>
      <c r="M22" s="13"/>
      <c r="N22" s="13"/>
      <c r="O22" s="13"/>
      <c r="P22" s="13"/>
      <c r="Q22" s="13"/>
      <c r="R22" s="13"/>
      <c r="S22" s="13"/>
      <c r="T22" s="13"/>
      <c r="U22" s="13">
        <v>0</v>
      </c>
      <c r="V22" s="13">
        <v>0</v>
      </c>
      <c r="W22" s="13">
        <v>0</v>
      </c>
      <c r="X22" s="13">
        <v>0</v>
      </c>
      <c r="Y22" s="13">
        <f>(1 - CUSTOS!$M$25)*99.3975</f>
        <v>99.397499999999994</v>
      </c>
      <c r="Z22" s="13">
        <v>0</v>
      </c>
      <c r="AA22" s="13">
        <v>0</v>
      </c>
      <c r="AB22" s="13"/>
      <c r="AC22" s="13">
        <f>(1 - CUSTOS!$M$25)*200.1448</f>
        <v>200.1448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P22" s="13">
        <f>IF((1 - CUSTOS!$M$25)&lt;&gt;0,1/(1 - CUSTOS!$M$25),1)</f>
        <v>1</v>
      </c>
    </row>
    <row r="23" spans="1:42" ht="11.25" customHeight="1" x14ac:dyDescent="0.3">
      <c r="A23" s="91"/>
      <c r="B23" s="91"/>
      <c r="C23" s="91"/>
      <c r="D23" s="17" t="s">
        <v>29</v>
      </c>
      <c r="E23" s="17" t="s">
        <v>25</v>
      </c>
      <c r="F23" s="17" t="s">
        <v>25</v>
      </c>
      <c r="G23" s="18" t="s">
        <v>74</v>
      </c>
      <c r="H23" s="18" t="s">
        <v>68</v>
      </c>
      <c r="I23" s="18">
        <f>'MERCADO TUSD'!$U$20</f>
        <v>5.7929999999999993</v>
      </c>
      <c r="J23" s="15"/>
      <c r="L23" s="13"/>
      <c r="M23" s="13"/>
      <c r="N23" s="13"/>
      <c r="O23" s="13"/>
      <c r="P23" s="13"/>
      <c r="Q23" s="13"/>
      <c r="R23" s="13"/>
      <c r="S23" s="13"/>
      <c r="T23" s="13"/>
      <c r="U23" s="13">
        <v>0</v>
      </c>
      <c r="V23" s="13">
        <v>0</v>
      </c>
      <c r="W23" s="13">
        <v>0</v>
      </c>
      <c r="X23" s="13">
        <v>0</v>
      </c>
      <c r="Y23" s="13">
        <f>(1 - CUSTOS!$M$26)*99.3975</f>
        <v>99.397499999999994</v>
      </c>
      <c r="Z23" s="13">
        <v>0</v>
      </c>
      <c r="AA23" s="13">
        <v>0</v>
      </c>
      <c r="AB23" s="13"/>
      <c r="AC23" s="13">
        <f>(1 - CUSTOS!$M$26)*200.1448</f>
        <v>200.1448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P23" s="13">
        <f>IF((1 - CUSTOS!$M$26)&lt;&gt;0,1/(1 - CUSTOS!$M$26),1)</f>
        <v>1</v>
      </c>
    </row>
    <row r="24" spans="1:42" ht="11.25" customHeight="1" x14ac:dyDescent="0.3">
      <c r="A24" s="91"/>
      <c r="B24" s="91"/>
      <c r="C24" s="91"/>
      <c r="D24" s="17" t="s">
        <v>30</v>
      </c>
      <c r="E24" s="17" t="s">
        <v>25</v>
      </c>
      <c r="F24" s="17" t="s">
        <v>25</v>
      </c>
      <c r="G24" s="18" t="s">
        <v>74</v>
      </c>
      <c r="H24" s="18" t="s">
        <v>68</v>
      </c>
      <c r="I24" s="18">
        <f>'MERCADO TUSD'!$U$21</f>
        <v>2.0990000000000002</v>
      </c>
      <c r="J24" s="15"/>
      <c r="L24" s="13"/>
      <c r="M24" s="13"/>
      <c r="N24" s="13"/>
      <c r="O24" s="13"/>
      <c r="P24" s="13"/>
      <c r="Q24" s="13"/>
      <c r="R24" s="13"/>
      <c r="S24" s="13"/>
      <c r="T24" s="13"/>
      <c r="U24" s="13">
        <v>0</v>
      </c>
      <c r="V24" s="13">
        <v>0</v>
      </c>
      <c r="W24" s="13">
        <v>0</v>
      </c>
      <c r="X24" s="13">
        <v>0</v>
      </c>
      <c r="Y24" s="13">
        <f>(1 - CUSTOS!$M$27)*99.3975</f>
        <v>99.397499999999994</v>
      </c>
      <c r="Z24" s="13">
        <v>0</v>
      </c>
      <c r="AA24" s="13">
        <v>0</v>
      </c>
      <c r="AB24" s="13"/>
      <c r="AC24" s="13">
        <f>(1 - CUSTOS!$M$27)*200.1448</f>
        <v>200.1448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P24" s="13">
        <f>IF((1 - CUSTOS!$M$27)&lt;&gt;0,1/(1 - CUSTOS!$M$27),1)</f>
        <v>1</v>
      </c>
    </row>
    <row r="25" spans="1:42" ht="11.25" customHeight="1" x14ac:dyDescent="0.3">
      <c r="A25" s="91"/>
      <c r="B25" s="91" t="s">
        <v>84</v>
      </c>
      <c r="C25" s="91" t="s">
        <v>24</v>
      </c>
      <c r="D25" s="17" t="s">
        <v>24</v>
      </c>
      <c r="E25" s="17" t="s">
        <v>25</v>
      </c>
      <c r="F25" s="17" t="s">
        <v>25</v>
      </c>
      <c r="G25" s="18" t="s">
        <v>74</v>
      </c>
      <c r="H25" s="18" t="s">
        <v>68</v>
      </c>
      <c r="I25" s="18">
        <f>'MERCADO TUSD'!$U$22</f>
        <v>0</v>
      </c>
      <c r="J25" s="15"/>
      <c r="L25" s="13"/>
      <c r="M25" s="13"/>
      <c r="N25" s="13"/>
      <c r="O25" s="13"/>
      <c r="P25" s="13"/>
      <c r="Q25" s="13"/>
      <c r="R25" s="13"/>
      <c r="S25" s="13"/>
      <c r="T25" s="13"/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/>
      <c r="AC25" s="13">
        <v>0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P25" s="13">
        <v>1</v>
      </c>
    </row>
    <row r="26" spans="1:42" ht="11.25" customHeight="1" x14ac:dyDescent="0.3">
      <c r="A26" s="91"/>
      <c r="B26" s="91"/>
      <c r="C26" s="91"/>
      <c r="D26" s="17" t="s">
        <v>27</v>
      </c>
      <c r="E26" s="17" t="s">
        <v>25</v>
      </c>
      <c r="F26" s="17" t="s">
        <v>25</v>
      </c>
      <c r="G26" s="18" t="s">
        <v>74</v>
      </c>
      <c r="H26" s="18" t="s">
        <v>68</v>
      </c>
      <c r="I26" s="18">
        <f>'MERCADO TUSD'!$U$23</f>
        <v>0</v>
      </c>
      <c r="J26" s="15"/>
      <c r="L26" s="13"/>
      <c r="M26" s="13"/>
      <c r="N26" s="13"/>
      <c r="O26" s="13"/>
      <c r="P26" s="13"/>
      <c r="Q26" s="13"/>
      <c r="R26" s="13"/>
      <c r="S26" s="13"/>
      <c r="T26" s="13"/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/>
      <c r="AC26" s="13">
        <v>0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P26" s="13">
        <f>IF((1 - CUSTOS!$M$24)&lt;&gt;0,1/(1 - CUSTOS!$M$24),1)</f>
        <v>1</v>
      </c>
    </row>
    <row r="27" spans="1:42" ht="11.25" customHeight="1" x14ac:dyDescent="0.3">
      <c r="A27" s="91"/>
      <c r="B27" s="91"/>
      <c r="C27" s="91"/>
      <c r="D27" s="17" t="s">
        <v>28</v>
      </c>
      <c r="E27" s="17" t="s">
        <v>25</v>
      </c>
      <c r="F27" s="17" t="s">
        <v>25</v>
      </c>
      <c r="G27" s="18" t="s">
        <v>74</v>
      </c>
      <c r="H27" s="18" t="s">
        <v>68</v>
      </c>
      <c r="I27" s="18">
        <f>'MERCADO TUSD'!$U$24</f>
        <v>0</v>
      </c>
      <c r="J27" s="15"/>
      <c r="L27" s="13"/>
      <c r="M27" s="13"/>
      <c r="N27" s="13"/>
      <c r="O27" s="13"/>
      <c r="P27" s="13"/>
      <c r="Q27" s="13"/>
      <c r="R27" s="13"/>
      <c r="S27" s="13"/>
      <c r="T27" s="13"/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/>
      <c r="AC27" s="13">
        <v>0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P27" s="13">
        <f>IF((1 - CUSTOS!$M$25)&lt;&gt;0,1/(1 - CUSTOS!$M$25),1)</f>
        <v>1</v>
      </c>
    </row>
    <row r="28" spans="1:42" ht="11.25" customHeight="1" x14ac:dyDescent="0.3">
      <c r="A28" s="91"/>
      <c r="B28" s="91"/>
      <c r="C28" s="91"/>
      <c r="D28" s="17" t="s">
        <v>29</v>
      </c>
      <c r="E28" s="17" t="s">
        <v>25</v>
      </c>
      <c r="F28" s="17" t="s">
        <v>25</v>
      </c>
      <c r="G28" s="18" t="s">
        <v>74</v>
      </c>
      <c r="H28" s="18" t="s">
        <v>68</v>
      </c>
      <c r="I28" s="18">
        <f>'MERCADO TUSD'!$U$25</f>
        <v>0</v>
      </c>
      <c r="J28" s="15"/>
      <c r="L28" s="13"/>
      <c r="M28" s="13"/>
      <c r="N28" s="13"/>
      <c r="O28" s="13"/>
      <c r="P28" s="13"/>
      <c r="Q28" s="13"/>
      <c r="R28" s="13"/>
      <c r="S28" s="13"/>
      <c r="T28" s="13"/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/>
      <c r="AC28" s="13">
        <v>0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P28" s="13">
        <f>IF((1 - CUSTOS!$M$26)&lt;&gt;0,1/(1 - CUSTOS!$M$26),1)</f>
        <v>1</v>
      </c>
    </row>
    <row r="29" spans="1:42" ht="11.25" customHeight="1" x14ac:dyDescent="0.3">
      <c r="A29" s="91"/>
      <c r="B29" s="91"/>
      <c r="C29" s="91"/>
      <c r="D29" s="17" t="s">
        <v>30</v>
      </c>
      <c r="E29" s="17" t="s">
        <v>25</v>
      </c>
      <c r="F29" s="17" t="s">
        <v>25</v>
      </c>
      <c r="G29" s="18" t="s">
        <v>74</v>
      </c>
      <c r="H29" s="18" t="s">
        <v>68</v>
      </c>
      <c r="I29" s="18">
        <f>'MERCADO TUSD'!$U$26</f>
        <v>0</v>
      </c>
      <c r="J29" s="15"/>
      <c r="L29" s="13"/>
      <c r="M29" s="13"/>
      <c r="N29" s="13"/>
      <c r="O29" s="13"/>
      <c r="P29" s="13"/>
      <c r="Q29" s="13"/>
      <c r="R29" s="13"/>
      <c r="S29" s="13"/>
      <c r="T29" s="13"/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/>
      <c r="AC29" s="13">
        <v>0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P29" s="13">
        <f>IF((1 - CUSTOS!$M$27)&lt;&gt;0,1/(1 - CUSTOS!$M$27),1)</f>
        <v>1</v>
      </c>
    </row>
    <row r="30" spans="1:42" ht="11.25" customHeight="1" x14ac:dyDescent="0.3">
      <c r="A30" s="91" t="s">
        <v>39</v>
      </c>
      <c r="B30" s="91" t="s">
        <v>82</v>
      </c>
      <c r="C30" s="91" t="s">
        <v>40</v>
      </c>
      <c r="D30" s="91" t="s">
        <v>25</v>
      </c>
      <c r="E30" s="91" t="s">
        <v>25</v>
      </c>
      <c r="F30" s="91" t="s">
        <v>25</v>
      </c>
      <c r="G30" s="18" t="s">
        <v>69</v>
      </c>
      <c r="H30" s="18" t="s">
        <v>68</v>
      </c>
      <c r="I30" s="18">
        <f>'MERCADO TUSD'!$U$27</f>
        <v>0</v>
      </c>
      <c r="J30" s="15"/>
      <c r="L30" s="13"/>
      <c r="M30" s="13"/>
      <c r="N30" s="13"/>
      <c r="O30" s="13"/>
      <c r="P30" s="13"/>
      <c r="Q30" s="13"/>
      <c r="R30" s="13"/>
      <c r="S30" s="13"/>
      <c r="T30" s="13"/>
      <c r="U30" s="13">
        <v>0</v>
      </c>
      <c r="V30" s="13">
        <v>0</v>
      </c>
      <c r="W30" s="13">
        <v>0</v>
      </c>
      <c r="X30" s="13">
        <v>0</v>
      </c>
      <c r="Y30" s="13">
        <f>(1 - CUSTOS!$M$28)*293.2347</f>
        <v>293.23469999999998</v>
      </c>
      <c r="Z30" s="13">
        <v>0</v>
      </c>
      <c r="AA30" s="13">
        <v>0</v>
      </c>
      <c r="AB30" s="13"/>
      <c r="AC30" s="13">
        <f>(1 - CUSTOS!$M$28)*590.4272</f>
        <v>590.42719999999997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P30" s="13">
        <f>IF((1 - CUSTOS!$M$28)&lt;&gt;0,1/(1 - CUSTOS!$M$28),1)</f>
        <v>1</v>
      </c>
    </row>
    <row r="31" spans="1:42" ht="11.25" customHeight="1" x14ac:dyDescent="0.3">
      <c r="A31" s="91"/>
      <c r="B31" s="91"/>
      <c r="C31" s="91"/>
      <c r="D31" s="91"/>
      <c r="E31" s="91"/>
      <c r="F31" s="91"/>
      <c r="G31" s="18" t="s">
        <v>80</v>
      </c>
      <c r="H31" s="18" t="s">
        <v>68</v>
      </c>
      <c r="I31" s="18">
        <f>'MERCADO TUSD'!$U$28</f>
        <v>0</v>
      </c>
      <c r="J31" s="15"/>
      <c r="L31" s="13"/>
      <c r="M31" s="13"/>
      <c r="N31" s="13"/>
      <c r="O31" s="13"/>
      <c r="P31" s="13"/>
      <c r="Q31" s="13"/>
      <c r="R31" s="13"/>
      <c r="S31" s="13"/>
      <c r="T31" s="13"/>
      <c r="U31" s="13">
        <v>0</v>
      </c>
      <c r="V31" s="13">
        <v>0</v>
      </c>
      <c r="W31" s="13">
        <v>0</v>
      </c>
      <c r="X31" s="13">
        <v>0</v>
      </c>
      <c r="Y31" s="13">
        <f>(1 - CUSTOS!$M$28)*175.9212</f>
        <v>175.9212</v>
      </c>
      <c r="Z31" s="13">
        <v>0</v>
      </c>
      <c r="AA31" s="13">
        <v>0</v>
      </c>
      <c r="AB31" s="13"/>
      <c r="AC31" s="13">
        <f>(1 - CUSTOS!$M$28)*354.2562</f>
        <v>354.25619999999998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P31" s="13">
        <f>IF((1 - CUSTOS!$M$28)&lt;&gt;0,1/(1 - CUSTOS!$M$28),1)</f>
        <v>1</v>
      </c>
    </row>
    <row r="32" spans="1:42" ht="11.25" customHeight="1" x14ac:dyDescent="0.3">
      <c r="A32" s="91"/>
      <c r="B32" s="91"/>
      <c r="C32" s="91"/>
      <c r="D32" s="91"/>
      <c r="E32" s="91"/>
      <c r="F32" s="91"/>
      <c r="G32" s="18" t="s">
        <v>70</v>
      </c>
      <c r="H32" s="18" t="s">
        <v>68</v>
      </c>
      <c r="I32" s="18">
        <f>'MERCADO TUSD'!$U$29</f>
        <v>0</v>
      </c>
      <c r="J32" s="15"/>
      <c r="L32" s="13"/>
      <c r="M32" s="13"/>
      <c r="N32" s="13"/>
      <c r="O32" s="13"/>
      <c r="P32" s="13"/>
      <c r="Q32" s="13"/>
      <c r="R32" s="13"/>
      <c r="S32" s="13"/>
      <c r="T32" s="13"/>
      <c r="U32" s="13">
        <v>0</v>
      </c>
      <c r="V32" s="13">
        <v>0</v>
      </c>
      <c r="W32" s="13">
        <v>0</v>
      </c>
      <c r="X32" s="13">
        <v>0</v>
      </c>
      <c r="Y32" s="13">
        <f>(1 - CUSTOS!$M$28)*58.6077</f>
        <v>58.607700000000001</v>
      </c>
      <c r="Z32" s="13">
        <v>0</v>
      </c>
      <c r="AA32" s="13">
        <v>0</v>
      </c>
      <c r="AB32" s="13"/>
      <c r="AC32" s="13">
        <f>(1 - CUSTOS!$M$28)*118.0854</f>
        <v>118.08540000000001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P32" s="13">
        <f>IF((1 - CUSTOS!$M$28)&lt;&gt;0,1/(1 - CUSTOS!$M$28),1)</f>
        <v>1</v>
      </c>
    </row>
    <row r="33" spans="1:42" ht="11.25" customHeight="1" x14ac:dyDescent="0.3">
      <c r="A33" s="91"/>
      <c r="B33" s="17" t="s">
        <v>23</v>
      </c>
      <c r="C33" s="17" t="s">
        <v>40</v>
      </c>
      <c r="D33" s="17" t="s">
        <v>25</v>
      </c>
      <c r="E33" s="17" t="s">
        <v>25</v>
      </c>
      <c r="F33" s="17" t="s">
        <v>25</v>
      </c>
      <c r="G33" s="18" t="s">
        <v>74</v>
      </c>
      <c r="H33" s="18" t="s">
        <v>68</v>
      </c>
      <c r="I33" s="18">
        <f>'MERCADO TUSD'!$U$30</f>
        <v>5733.0710000000008</v>
      </c>
      <c r="J33" s="15"/>
      <c r="L33" s="13"/>
      <c r="M33" s="13"/>
      <c r="N33" s="13"/>
      <c r="O33" s="13"/>
      <c r="P33" s="13"/>
      <c r="Q33" s="13"/>
      <c r="R33" s="13"/>
      <c r="S33" s="13"/>
      <c r="T33" s="13"/>
      <c r="U33" s="13">
        <v>0</v>
      </c>
      <c r="V33" s="13">
        <v>0</v>
      </c>
      <c r="W33" s="13">
        <v>0</v>
      </c>
      <c r="X33" s="13">
        <v>0</v>
      </c>
      <c r="Y33" s="13">
        <f>(1 - CUSTOS!$M$28)*99.3975</f>
        <v>99.397499999999994</v>
      </c>
      <c r="Z33" s="13">
        <v>0</v>
      </c>
      <c r="AA33" s="13">
        <v>0</v>
      </c>
      <c r="AB33" s="13"/>
      <c r="AC33" s="13">
        <f>(1 - CUSTOS!$M$28)*200.1448</f>
        <v>200.1448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P33" s="13">
        <f>IF((1 - CUSTOS!$M$28)&lt;&gt;0,1/(1 - CUSTOS!$M$28),1)</f>
        <v>1</v>
      </c>
    </row>
    <row r="34" spans="1:42" ht="11.25" customHeight="1" x14ac:dyDescent="0.3">
      <c r="A34" s="91"/>
      <c r="B34" s="91" t="s">
        <v>82</v>
      </c>
      <c r="C34" s="91" t="s">
        <v>40</v>
      </c>
      <c r="D34" s="91" t="s">
        <v>85</v>
      </c>
      <c r="E34" s="91" t="s">
        <v>25</v>
      </c>
      <c r="F34" s="91" t="s">
        <v>25</v>
      </c>
      <c r="G34" s="18" t="s">
        <v>69</v>
      </c>
      <c r="H34" s="18" t="s">
        <v>68</v>
      </c>
      <c r="I34" s="18">
        <f>'MERCADO TUSD'!$U$31</f>
        <v>0</v>
      </c>
      <c r="J34" s="15"/>
      <c r="L34" s="13"/>
      <c r="M34" s="13"/>
      <c r="N34" s="13"/>
      <c r="O34" s="13"/>
      <c r="P34" s="13"/>
      <c r="Q34" s="13"/>
      <c r="R34" s="13"/>
      <c r="S34" s="13"/>
      <c r="T34" s="13"/>
      <c r="U34" s="13">
        <v>0</v>
      </c>
      <c r="V34" s="13">
        <v>0</v>
      </c>
      <c r="W34" s="13">
        <v>0</v>
      </c>
      <c r="X34" s="13">
        <v>0</v>
      </c>
      <c r="Y34" s="13">
        <f>(1 - CUSTOS!$M$29)*293.2347</f>
        <v>293.23469999999998</v>
      </c>
      <c r="Z34" s="13">
        <v>0</v>
      </c>
      <c r="AA34" s="13">
        <v>0</v>
      </c>
      <c r="AB34" s="13"/>
      <c r="AC34" s="13">
        <f>(1 - CUSTOS!$M$29)*590.4272</f>
        <v>590.42719999999997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P34" s="13">
        <f>IF((1 - CUSTOS!$M$29)&lt;&gt;0,1/(1 - CUSTOS!$M$29),1)</f>
        <v>1</v>
      </c>
    </row>
    <row r="35" spans="1:42" ht="11.25" customHeight="1" x14ac:dyDescent="0.3">
      <c r="A35" s="91"/>
      <c r="B35" s="91"/>
      <c r="C35" s="91"/>
      <c r="D35" s="91"/>
      <c r="E35" s="91"/>
      <c r="F35" s="91"/>
      <c r="G35" s="18" t="s">
        <v>80</v>
      </c>
      <c r="H35" s="18" t="s">
        <v>68</v>
      </c>
      <c r="I35" s="18">
        <f>'MERCADO TUSD'!$U$32</f>
        <v>0</v>
      </c>
      <c r="J35" s="15"/>
      <c r="L35" s="13"/>
      <c r="M35" s="13"/>
      <c r="N35" s="13"/>
      <c r="O35" s="13"/>
      <c r="P35" s="13"/>
      <c r="Q35" s="13"/>
      <c r="R35" s="13"/>
      <c r="S35" s="13"/>
      <c r="T35" s="13"/>
      <c r="U35" s="13">
        <v>0</v>
      </c>
      <c r="V35" s="13">
        <v>0</v>
      </c>
      <c r="W35" s="13">
        <v>0</v>
      </c>
      <c r="X35" s="13">
        <v>0</v>
      </c>
      <c r="Y35" s="13">
        <f>(1 - CUSTOS!$M$29)*175.9212</f>
        <v>175.9212</v>
      </c>
      <c r="Z35" s="13">
        <v>0</v>
      </c>
      <c r="AA35" s="13">
        <v>0</v>
      </c>
      <c r="AB35" s="13"/>
      <c r="AC35" s="13">
        <f>(1 - CUSTOS!$M$29)*354.2562</f>
        <v>354.25619999999998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P35" s="13">
        <f>IF((1 - CUSTOS!$M$29)&lt;&gt;0,1/(1 - CUSTOS!$M$29),1)</f>
        <v>1</v>
      </c>
    </row>
    <row r="36" spans="1:42" ht="11.25" customHeight="1" x14ac:dyDescent="0.3">
      <c r="A36" s="91"/>
      <c r="B36" s="91"/>
      <c r="C36" s="91"/>
      <c r="D36" s="91"/>
      <c r="E36" s="91"/>
      <c r="F36" s="91"/>
      <c r="G36" s="18" t="s">
        <v>70</v>
      </c>
      <c r="H36" s="18" t="s">
        <v>68</v>
      </c>
      <c r="I36" s="18">
        <f>'MERCADO TUSD'!$U$33</f>
        <v>0</v>
      </c>
      <c r="J36" s="15"/>
      <c r="L36" s="13"/>
      <c r="M36" s="13"/>
      <c r="N36" s="13"/>
      <c r="O36" s="13"/>
      <c r="P36" s="13"/>
      <c r="Q36" s="13"/>
      <c r="R36" s="13"/>
      <c r="S36" s="13"/>
      <c r="T36" s="13"/>
      <c r="U36" s="13">
        <v>0</v>
      </c>
      <c r="V36" s="13">
        <v>0</v>
      </c>
      <c r="W36" s="13">
        <v>0</v>
      </c>
      <c r="X36" s="13">
        <v>0</v>
      </c>
      <c r="Y36" s="13">
        <f>(1 - CUSTOS!$M$29)*58.6077</f>
        <v>58.607700000000001</v>
      </c>
      <c r="Z36" s="13">
        <v>0</v>
      </c>
      <c r="AA36" s="13">
        <v>0</v>
      </c>
      <c r="AB36" s="13"/>
      <c r="AC36" s="13">
        <f>(1 - CUSTOS!$M$29)*118.0854</f>
        <v>118.08540000000001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P36" s="13">
        <f>IF((1 - CUSTOS!$M$29)&lt;&gt;0,1/(1 - CUSTOS!$M$29),1)</f>
        <v>1</v>
      </c>
    </row>
    <row r="37" spans="1:42" ht="11.25" customHeight="1" x14ac:dyDescent="0.3">
      <c r="A37" s="91"/>
      <c r="B37" s="17" t="s">
        <v>23</v>
      </c>
      <c r="C37" s="17" t="s">
        <v>40</v>
      </c>
      <c r="D37" s="17" t="s">
        <v>85</v>
      </c>
      <c r="E37" s="17" t="s">
        <v>25</v>
      </c>
      <c r="F37" s="17" t="s">
        <v>25</v>
      </c>
      <c r="G37" s="18" t="s">
        <v>74</v>
      </c>
      <c r="H37" s="18" t="s">
        <v>68</v>
      </c>
      <c r="I37" s="18">
        <f>'MERCADO TUSD'!$U$34</f>
        <v>0</v>
      </c>
      <c r="J37" s="15"/>
      <c r="L37" s="13"/>
      <c r="M37" s="13"/>
      <c r="N37" s="13"/>
      <c r="O37" s="13"/>
      <c r="P37" s="13"/>
      <c r="Q37" s="13"/>
      <c r="R37" s="13"/>
      <c r="S37" s="13"/>
      <c r="T37" s="13"/>
      <c r="U37" s="13">
        <v>0</v>
      </c>
      <c r="V37" s="13">
        <v>0</v>
      </c>
      <c r="W37" s="13">
        <v>0</v>
      </c>
      <c r="X37" s="13">
        <v>0</v>
      </c>
      <c r="Y37" s="13">
        <f>(1 - CUSTOS!$M$29)*99.3975</f>
        <v>99.397499999999994</v>
      </c>
      <c r="Z37" s="13">
        <v>0</v>
      </c>
      <c r="AA37" s="13">
        <v>0</v>
      </c>
      <c r="AB37" s="13"/>
      <c r="AC37" s="13">
        <f>(1 - CUSTOS!$M$29)*200.1448</f>
        <v>200.1448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P37" s="13">
        <f>IF((1 - CUSTOS!$M$29)&lt;&gt;0,1/(1 - CUSTOS!$M$29),1)</f>
        <v>1</v>
      </c>
    </row>
    <row r="38" spans="1:42" ht="11.25" customHeight="1" x14ac:dyDescent="0.3">
      <c r="A38" s="91"/>
      <c r="B38" s="91" t="s">
        <v>82</v>
      </c>
      <c r="C38" s="91" t="s">
        <v>40</v>
      </c>
      <c r="D38" s="91" t="s">
        <v>86</v>
      </c>
      <c r="E38" s="91" t="s">
        <v>25</v>
      </c>
      <c r="F38" s="91" t="s">
        <v>25</v>
      </c>
      <c r="G38" s="18" t="s">
        <v>69</v>
      </c>
      <c r="H38" s="18" t="s">
        <v>68</v>
      </c>
      <c r="I38" s="18">
        <f>'MERCADO TUSD'!$U$35</f>
        <v>0</v>
      </c>
      <c r="J38" s="15"/>
      <c r="L38" s="13"/>
      <c r="M38" s="13"/>
      <c r="N38" s="13"/>
      <c r="O38" s="13"/>
      <c r="P38" s="13"/>
      <c r="Q38" s="13"/>
      <c r="R38" s="13"/>
      <c r="S38" s="13"/>
      <c r="T38" s="13"/>
      <c r="U38" s="13">
        <v>0</v>
      </c>
      <c r="V38" s="13">
        <v>0</v>
      </c>
      <c r="W38" s="13">
        <v>0</v>
      </c>
      <c r="X38" s="13">
        <v>0</v>
      </c>
      <c r="Y38" s="13">
        <f>(1 - CUSTOS!$M$30)*293.2347</f>
        <v>293.23469999999998</v>
      </c>
      <c r="Z38" s="13">
        <v>0</v>
      </c>
      <c r="AA38" s="13">
        <v>0</v>
      </c>
      <c r="AB38" s="13"/>
      <c r="AC38" s="13">
        <f>(1 - CUSTOS!$M$30)*590.4272</f>
        <v>590.42719999999997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P38" s="13">
        <f>IF((1 - CUSTOS!$M$30)&lt;&gt;0,1/(1 - CUSTOS!$M$30),1)</f>
        <v>1</v>
      </c>
    </row>
    <row r="39" spans="1:42" ht="11.25" customHeight="1" x14ac:dyDescent="0.3">
      <c r="A39" s="91"/>
      <c r="B39" s="91"/>
      <c r="C39" s="91"/>
      <c r="D39" s="91"/>
      <c r="E39" s="91"/>
      <c r="F39" s="91"/>
      <c r="G39" s="18" t="s">
        <v>80</v>
      </c>
      <c r="H39" s="18" t="s">
        <v>68</v>
      </c>
      <c r="I39" s="18">
        <f>'MERCADO TUSD'!$U$36</f>
        <v>0</v>
      </c>
      <c r="J39" s="15"/>
      <c r="L39" s="13"/>
      <c r="M39" s="13"/>
      <c r="N39" s="13"/>
      <c r="O39" s="13"/>
      <c r="P39" s="13"/>
      <c r="Q39" s="13"/>
      <c r="R39" s="13"/>
      <c r="S39" s="13"/>
      <c r="T39" s="13"/>
      <c r="U39" s="13">
        <v>0</v>
      </c>
      <c r="V39" s="13">
        <v>0</v>
      </c>
      <c r="W39" s="13">
        <v>0</v>
      </c>
      <c r="X39" s="13">
        <v>0</v>
      </c>
      <c r="Y39" s="13">
        <f>(1 - CUSTOS!$M$30)*175.9212</f>
        <v>175.9212</v>
      </c>
      <c r="Z39" s="13">
        <v>0</v>
      </c>
      <c r="AA39" s="13">
        <v>0</v>
      </c>
      <c r="AB39" s="13"/>
      <c r="AC39" s="13">
        <f>(1 - CUSTOS!$M$30)*354.2562</f>
        <v>354.25619999999998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P39" s="13">
        <f>IF((1 - CUSTOS!$M$30)&lt;&gt;0,1/(1 - CUSTOS!$M$30),1)</f>
        <v>1</v>
      </c>
    </row>
    <row r="40" spans="1:42" ht="11.25" customHeight="1" x14ac:dyDescent="0.3">
      <c r="A40" s="91"/>
      <c r="B40" s="91"/>
      <c r="C40" s="91"/>
      <c r="D40" s="91"/>
      <c r="E40" s="91"/>
      <c r="F40" s="91"/>
      <c r="G40" s="18" t="s">
        <v>70</v>
      </c>
      <c r="H40" s="18" t="s">
        <v>68</v>
      </c>
      <c r="I40" s="18">
        <f>'MERCADO TUSD'!$U$37</f>
        <v>0</v>
      </c>
      <c r="J40" s="15"/>
      <c r="L40" s="13"/>
      <c r="M40" s="13"/>
      <c r="N40" s="13"/>
      <c r="O40" s="13"/>
      <c r="P40" s="13"/>
      <c r="Q40" s="13"/>
      <c r="R40" s="13"/>
      <c r="S40" s="13"/>
      <c r="T40" s="13"/>
      <c r="U40" s="13">
        <v>0</v>
      </c>
      <c r="V40" s="13">
        <v>0</v>
      </c>
      <c r="W40" s="13">
        <v>0</v>
      </c>
      <c r="X40" s="13">
        <v>0</v>
      </c>
      <c r="Y40" s="13">
        <f>(1 - CUSTOS!$M$30)*58.6077</f>
        <v>58.607700000000001</v>
      </c>
      <c r="Z40" s="13">
        <v>0</v>
      </c>
      <c r="AA40" s="13">
        <v>0</v>
      </c>
      <c r="AB40" s="13"/>
      <c r="AC40" s="13">
        <f>(1 - CUSTOS!$M$30)*118.0854</f>
        <v>118.08540000000001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P40" s="13">
        <f>IF((1 - CUSTOS!$M$30)&lt;&gt;0,1/(1 - CUSTOS!$M$30),1)</f>
        <v>1</v>
      </c>
    </row>
    <row r="41" spans="1:42" ht="11.25" customHeight="1" x14ac:dyDescent="0.3">
      <c r="A41" s="91"/>
      <c r="B41" s="17" t="s">
        <v>23</v>
      </c>
      <c r="C41" s="17" t="s">
        <v>40</v>
      </c>
      <c r="D41" s="17" t="s">
        <v>86</v>
      </c>
      <c r="E41" s="17" t="s">
        <v>25</v>
      </c>
      <c r="F41" s="17" t="s">
        <v>25</v>
      </c>
      <c r="G41" s="18" t="s">
        <v>74</v>
      </c>
      <c r="H41" s="18" t="s">
        <v>68</v>
      </c>
      <c r="I41" s="18">
        <f>'MERCADO TUSD'!$U$38</f>
        <v>0</v>
      </c>
      <c r="J41" s="15"/>
      <c r="L41" s="13"/>
      <c r="M41" s="13"/>
      <c r="N41" s="13"/>
      <c r="O41" s="13"/>
      <c r="P41" s="13"/>
      <c r="Q41" s="13"/>
      <c r="R41" s="13"/>
      <c r="S41" s="13"/>
      <c r="T41" s="13"/>
      <c r="U41" s="13">
        <v>0</v>
      </c>
      <c r="V41" s="13">
        <v>0</v>
      </c>
      <c r="W41" s="13">
        <v>0</v>
      </c>
      <c r="X41" s="13">
        <v>0</v>
      </c>
      <c r="Y41" s="13">
        <f>(1 - CUSTOS!$M$30)*99.3975</f>
        <v>99.397499999999994</v>
      </c>
      <c r="Z41" s="13">
        <v>0</v>
      </c>
      <c r="AA41" s="13">
        <v>0</v>
      </c>
      <c r="AB41" s="13"/>
      <c r="AC41" s="13">
        <f>(1 - CUSTOS!$M$30)*200.1448</f>
        <v>200.1448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P41" s="13">
        <f>IF((1 - CUSTOS!$M$30)&lt;&gt;0,1/(1 - CUSTOS!$M$30),1)</f>
        <v>1</v>
      </c>
    </row>
    <row r="42" spans="1:42" ht="11.25" customHeight="1" x14ac:dyDescent="0.3">
      <c r="A42" s="91"/>
      <c r="B42" s="91" t="s">
        <v>84</v>
      </c>
      <c r="C42" s="91" t="s">
        <v>40</v>
      </c>
      <c r="D42" s="17" t="s">
        <v>25</v>
      </c>
      <c r="E42" s="17" t="s">
        <v>25</v>
      </c>
      <c r="F42" s="17" t="s">
        <v>25</v>
      </c>
      <c r="G42" s="18" t="s">
        <v>74</v>
      </c>
      <c r="H42" s="18" t="s">
        <v>68</v>
      </c>
      <c r="I42" s="18">
        <f>'MERCADO TUSD'!$U$39</f>
        <v>0</v>
      </c>
      <c r="J42" s="15"/>
      <c r="L42" s="13"/>
      <c r="M42" s="13"/>
      <c r="N42" s="13"/>
      <c r="O42" s="13"/>
      <c r="P42" s="13"/>
      <c r="Q42" s="13"/>
      <c r="R42" s="13"/>
      <c r="S42" s="13"/>
      <c r="T42" s="13"/>
      <c r="U42" s="13">
        <v>0</v>
      </c>
      <c r="V42" s="13">
        <v>0</v>
      </c>
      <c r="W42" s="13">
        <v>0</v>
      </c>
      <c r="X42" s="13">
        <v>0</v>
      </c>
      <c r="Y42" s="13">
        <f>(1 - CUSTOS!$M$28)*99.3975</f>
        <v>99.397499999999994</v>
      </c>
      <c r="Z42" s="13">
        <v>0</v>
      </c>
      <c r="AA42" s="13">
        <v>0</v>
      </c>
      <c r="AB42" s="13"/>
      <c r="AC42" s="13">
        <f>(1 - CUSTOS!$M$28)*200.1448</f>
        <v>200.1448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P42" s="13">
        <f>IF((1 - CUSTOS!$M$28)&lt;&gt;0,1/(1 - CUSTOS!$M$28),1)</f>
        <v>1</v>
      </c>
    </row>
    <row r="43" spans="1:42" ht="11.25" customHeight="1" x14ac:dyDescent="0.3">
      <c r="A43" s="91"/>
      <c r="B43" s="91"/>
      <c r="C43" s="91"/>
      <c r="D43" s="17" t="s">
        <v>85</v>
      </c>
      <c r="E43" s="17" t="s">
        <v>25</v>
      </c>
      <c r="F43" s="17" t="s">
        <v>25</v>
      </c>
      <c r="G43" s="18" t="s">
        <v>74</v>
      </c>
      <c r="H43" s="18" t="s">
        <v>68</v>
      </c>
      <c r="I43" s="18">
        <f>'MERCADO TUSD'!$U$40</f>
        <v>0</v>
      </c>
      <c r="J43" s="15"/>
      <c r="L43" s="13"/>
      <c r="M43" s="13"/>
      <c r="N43" s="13"/>
      <c r="O43" s="13"/>
      <c r="P43" s="13"/>
      <c r="Q43" s="13"/>
      <c r="R43" s="13"/>
      <c r="S43" s="13"/>
      <c r="T43" s="13"/>
      <c r="U43" s="13">
        <v>0</v>
      </c>
      <c r="V43" s="13">
        <v>0</v>
      </c>
      <c r="W43" s="13">
        <v>0</v>
      </c>
      <c r="X43" s="13">
        <v>0</v>
      </c>
      <c r="Y43" s="13">
        <f>(1 - CUSTOS!$M$29)*99.3975</f>
        <v>99.397499999999994</v>
      </c>
      <c r="Z43" s="13">
        <v>0</v>
      </c>
      <c r="AA43" s="13">
        <v>0</v>
      </c>
      <c r="AB43" s="13"/>
      <c r="AC43" s="13">
        <f>(1 - CUSTOS!$M$29)*200.1448</f>
        <v>200.1448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P43" s="13">
        <f>IF((1 - CUSTOS!$M$29)&lt;&gt;0,1/(1 - CUSTOS!$M$29),1)</f>
        <v>1</v>
      </c>
    </row>
    <row r="44" spans="1:42" ht="11.25" customHeight="1" x14ac:dyDescent="0.3">
      <c r="A44" s="91"/>
      <c r="B44" s="91"/>
      <c r="C44" s="91"/>
      <c r="D44" s="17" t="s">
        <v>86</v>
      </c>
      <c r="E44" s="17" t="s">
        <v>25</v>
      </c>
      <c r="F44" s="17" t="s">
        <v>25</v>
      </c>
      <c r="G44" s="18" t="s">
        <v>74</v>
      </c>
      <c r="H44" s="18" t="s">
        <v>68</v>
      </c>
      <c r="I44" s="18">
        <f>'MERCADO TUSD'!$U$41</f>
        <v>0</v>
      </c>
      <c r="J44" s="15"/>
      <c r="L44" s="13"/>
      <c r="M44" s="13"/>
      <c r="N44" s="13"/>
      <c r="O44" s="13"/>
      <c r="P44" s="13"/>
      <c r="Q44" s="13"/>
      <c r="R44" s="13"/>
      <c r="S44" s="13"/>
      <c r="T44" s="13"/>
      <c r="U44" s="13">
        <v>0</v>
      </c>
      <c r="V44" s="13">
        <v>0</v>
      </c>
      <c r="W44" s="13">
        <v>0</v>
      </c>
      <c r="X44" s="13">
        <v>0</v>
      </c>
      <c r="Y44" s="13">
        <f>(1 - CUSTOS!$M$30)*99.3975</f>
        <v>99.397499999999994</v>
      </c>
      <c r="Z44" s="13">
        <v>0</v>
      </c>
      <c r="AA44" s="13">
        <v>0</v>
      </c>
      <c r="AB44" s="13"/>
      <c r="AC44" s="13">
        <f>(1 - CUSTOS!$M$30)*200.1448</f>
        <v>200.1448</v>
      </c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P44" s="13">
        <f>IF((1 - CUSTOS!$M$30)&lt;&gt;0,1/(1 - CUSTOS!$M$30),1)</f>
        <v>1</v>
      </c>
    </row>
    <row r="45" spans="1:42" ht="11.25" customHeight="1" x14ac:dyDescent="0.3">
      <c r="A45" s="91" t="s">
        <v>31</v>
      </c>
      <c r="B45" s="91" t="s">
        <v>82</v>
      </c>
      <c r="C45" s="91" t="s">
        <v>25</v>
      </c>
      <c r="D45" s="91" t="s">
        <v>25</v>
      </c>
      <c r="E45" s="91" t="s">
        <v>25</v>
      </c>
      <c r="F45" s="91" t="s">
        <v>25</v>
      </c>
      <c r="G45" s="18" t="s">
        <v>69</v>
      </c>
      <c r="H45" s="18" t="s">
        <v>68</v>
      </c>
      <c r="I45" s="18">
        <f>'MERCADO TUSD'!$U$42</f>
        <v>0</v>
      </c>
      <c r="J45" s="15"/>
      <c r="L45" s="13"/>
      <c r="M45" s="13"/>
      <c r="N45" s="13"/>
      <c r="O45" s="13"/>
      <c r="P45" s="13"/>
      <c r="Q45" s="13"/>
      <c r="R45" s="13"/>
      <c r="S45" s="13"/>
      <c r="T45" s="13"/>
      <c r="U45" s="13">
        <v>0</v>
      </c>
      <c r="V45" s="13">
        <v>0</v>
      </c>
      <c r="W45" s="13">
        <v>0</v>
      </c>
      <c r="X45" s="13">
        <v>0</v>
      </c>
      <c r="Y45" s="13">
        <f>(1 - CUSTOS!$M$31)*343.0071</f>
        <v>343.00709999999998</v>
      </c>
      <c r="Z45" s="13">
        <v>0</v>
      </c>
      <c r="AA45" s="13">
        <v>0</v>
      </c>
      <c r="AB45" s="13"/>
      <c r="AC45" s="13">
        <f>(1 - CUSTOS!$M$31)*690.4994</f>
        <v>690.49940000000004</v>
      </c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P45" s="13">
        <f>IF((1 - CUSTOS!$M$31)&lt;&gt;0,1/(1 - CUSTOS!$M$31),1)</f>
        <v>1</v>
      </c>
    </row>
    <row r="46" spans="1:42" ht="11.25" customHeight="1" x14ac:dyDescent="0.3">
      <c r="A46" s="91"/>
      <c r="B46" s="91"/>
      <c r="C46" s="91"/>
      <c r="D46" s="91"/>
      <c r="E46" s="91"/>
      <c r="F46" s="91"/>
      <c r="G46" s="18" t="s">
        <v>80</v>
      </c>
      <c r="H46" s="18" t="s">
        <v>68</v>
      </c>
      <c r="I46" s="18">
        <f>'MERCADO TUSD'!$U$43</f>
        <v>0</v>
      </c>
      <c r="J46" s="15"/>
      <c r="L46" s="13"/>
      <c r="M46" s="13"/>
      <c r="N46" s="13"/>
      <c r="O46" s="13"/>
      <c r="P46" s="13"/>
      <c r="Q46" s="13"/>
      <c r="R46" s="13"/>
      <c r="S46" s="13"/>
      <c r="T46" s="13"/>
      <c r="U46" s="13">
        <v>0</v>
      </c>
      <c r="V46" s="13">
        <v>0</v>
      </c>
      <c r="W46" s="13">
        <v>0</v>
      </c>
      <c r="X46" s="13">
        <v>0</v>
      </c>
      <c r="Y46" s="13">
        <f>(1 - CUSTOS!$M$31)*205.765</f>
        <v>205.76499999999999</v>
      </c>
      <c r="Z46" s="13">
        <v>0</v>
      </c>
      <c r="AA46" s="13">
        <v>0</v>
      </c>
      <c r="AB46" s="13"/>
      <c r="AC46" s="13">
        <f>(1 - CUSTOS!$M$31)*414.2996</f>
        <v>414.2996</v>
      </c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P46" s="13">
        <f>IF((1 - CUSTOS!$M$31)&lt;&gt;0,1/(1 - CUSTOS!$M$31),1)</f>
        <v>1</v>
      </c>
    </row>
    <row r="47" spans="1:42" ht="11.25" customHeight="1" x14ac:dyDescent="0.3">
      <c r="A47" s="91"/>
      <c r="B47" s="91"/>
      <c r="C47" s="91"/>
      <c r="D47" s="91"/>
      <c r="E47" s="91"/>
      <c r="F47" s="91"/>
      <c r="G47" s="18" t="s">
        <v>70</v>
      </c>
      <c r="H47" s="18" t="s">
        <v>68</v>
      </c>
      <c r="I47" s="18">
        <f>'MERCADO TUSD'!$U$44</f>
        <v>0</v>
      </c>
      <c r="J47" s="15"/>
      <c r="L47" s="13"/>
      <c r="M47" s="13"/>
      <c r="N47" s="13"/>
      <c r="O47" s="13"/>
      <c r="P47" s="13"/>
      <c r="Q47" s="13"/>
      <c r="R47" s="13"/>
      <c r="S47" s="13"/>
      <c r="T47" s="13"/>
      <c r="U47" s="13">
        <v>0</v>
      </c>
      <c r="V47" s="13">
        <v>0</v>
      </c>
      <c r="W47" s="13">
        <v>0</v>
      </c>
      <c r="X47" s="13">
        <v>0</v>
      </c>
      <c r="Y47" s="13">
        <f>(1 - CUSTOS!$M$31)*68.5719</f>
        <v>68.571899999999999</v>
      </c>
      <c r="Z47" s="13">
        <v>0</v>
      </c>
      <c r="AA47" s="13">
        <v>0</v>
      </c>
      <c r="AB47" s="13"/>
      <c r="AC47" s="13">
        <f>(1 - CUSTOS!$M$31)*138.1</f>
        <v>138.1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P47" s="13">
        <f>IF((1 - CUSTOS!$M$31)&lt;&gt;0,1/(1 - CUSTOS!$M$31),1)</f>
        <v>1</v>
      </c>
    </row>
    <row r="48" spans="1:42" ht="11.25" customHeight="1" x14ac:dyDescent="0.3">
      <c r="A48" s="91"/>
      <c r="B48" s="17" t="s">
        <v>23</v>
      </c>
      <c r="C48" s="17" t="s">
        <v>25</v>
      </c>
      <c r="D48" s="17" t="s">
        <v>25</v>
      </c>
      <c r="E48" s="17" t="s">
        <v>25</v>
      </c>
      <c r="F48" s="17" t="s">
        <v>25</v>
      </c>
      <c r="G48" s="18" t="s">
        <v>74</v>
      </c>
      <c r="H48" s="18" t="s">
        <v>68</v>
      </c>
      <c r="I48" s="18">
        <f>'MERCADO TUSD'!$U$45</f>
        <v>321.71000000000004</v>
      </c>
      <c r="J48" s="15"/>
      <c r="L48" s="13"/>
      <c r="M48" s="13"/>
      <c r="N48" s="13"/>
      <c r="O48" s="13"/>
      <c r="P48" s="13"/>
      <c r="Q48" s="13"/>
      <c r="R48" s="13"/>
      <c r="S48" s="13"/>
      <c r="T48" s="13"/>
      <c r="U48" s="13">
        <v>0</v>
      </c>
      <c r="V48" s="13">
        <v>0</v>
      </c>
      <c r="W48" s="13">
        <v>0</v>
      </c>
      <c r="X48" s="13">
        <v>0</v>
      </c>
      <c r="Y48" s="13">
        <f>(1 - CUSTOS!$M$31)*99.3975</f>
        <v>99.397499999999994</v>
      </c>
      <c r="Z48" s="13">
        <v>0</v>
      </c>
      <c r="AA48" s="13">
        <v>0</v>
      </c>
      <c r="AB48" s="13"/>
      <c r="AC48" s="13">
        <f>(1 - CUSTOS!$M$31)*200.1448</f>
        <v>200.1448</v>
      </c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P48" s="13">
        <f>IF((1 - CUSTOS!$M$31)&lt;&gt;0,1/(1 - CUSTOS!$M$31),1)</f>
        <v>1</v>
      </c>
    </row>
    <row r="49" spans="1:42" ht="11.25" customHeight="1" x14ac:dyDescent="0.3">
      <c r="A49" s="91"/>
      <c r="B49" s="17" t="s">
        <v>84</v>
      </c>
      <c r="C49" s="17" t="s">
        <v>25</v>
      </c>
      <c r="D49" s="17" t="s">
        <v>25</v>
      </c>
      <c r="E49" s="17" t="s">
        <v>25</v>
      </c>
      <c r="F49" s="17" t="s">
        <v>25</v>
      </c>
      <c r="G49" s="18" t="s">
        <v>74</v>
      </c>
      <c r="H49" s="18" t="s">
        <v>68</v>
      </c>
      <c r="I49" s="18">
        <f>'MERCADO TUSD'!$U$46</f>
        <v>0</v>
      </c>
      <c r="J49" s="15"/>
      <c r="L49" s="13"/>
      <c r="M49" s="13"/>
      <c r="N49" s="13"/>
      <c r="O49" s="13"/>
      <c r="P49" s="13"/>
      <c r="Q49" s="13"/>
      <c r="R49" s="13"/>
      <c r="S49" s="13"/>
      <c r="T49" s="13"/>
      <c r="U49" s="13">
        <v>0</v>
      </c>
      <c r="V49" s="13">
        <v>0</v>
      </c>
      <c r="W49" s="13">
        <v>0</v>
      </c>
      <c r="X49" s="13">
        <v>0</v>
      </c>
      <c r="Y49" s="13">
        <f>(1 - CUSTOS!$M$31)*99.3975</f>
        <v>99.397499999999994</v>
      </c>
      <c r="Z49" s="13">
        <v>0</v>
      </c>
      <c r="AA49" s="13">
        <v>0</v>
      </c>
      <c r="AB49" s="13"/>
      <c r="AC49" s="13">
        <f>(1 - CUSTOS!$M$31)*200.1448</f>
        <v>200.1448</v>
      </c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P49" s="13">
        <f>IF((1 - CUSTOS!$M$31)&lt;&gt;0,1/(1 - CUSTOS!$M$31),1)</f>
        <v>1</v>
      </c>
    </row>
    <row r="50" spans="1:42" ht="11.25" customHeight="1" x14ac:dyDescent="0.3">
      <c r="A50" s="91" t="s">
        <v>43</v>
      </c>
      <c r="B50" s="91" t="s">
        <v>23</v>
      </c>
      <c r="C50" s="91" t="s">
        <v>44</v>
      </c>
      <c r="D50" s="17" t="s">
        <v>45</v>
      </c>
      <c r="E50" s="17" t="s">
        <v>25</v>
      </c>
      <c r="F50" s="17" t="s">
        <v>25</v>
      </c>
      <c r="G50" s="18" t="s">
        <v>74</v>
      </c>
      <c r="H50" s="18" t="s">
        <v>68</v>
      </c>
      <c r="I50" s="18">
        <f>'MERCADO TUSD'!$U$47</f>
        <v>249.66400000000002</v>
      </c>
      <c r="J50" s="15"/>
      <c r="L50" s="13"/>
      <c r="M50" s="13"/>
      <c r="N50" s="13"/>
      <c r="O50" s="13"/>
      <c r="P50" s="13"/>
      <c r="Q50" s="13"/>
      <c r="R50" s="13"/>
      <c r="S50" s="13"/>
      <c r="T50" s="13"/>
      <c r="U50" s="13">
        <v>0</v>
      </c>
      <c r="V50" s="13">
        <v>0</v>
      </c>
      <c r="W50" s="13">
        <v>0</v>
      </c>
      <c r="X50" s="13">
        <v>0</v>
      </c>
      <c r="Y50" s="13">
        <f>(1 - CUSTOS!$M$32)*99.3975</f>
        <v>54.668624999999999</v>
      </c>
      <c r="Z50" s="13">
        <v>0</v>
      </c>
      <c r="AA50" s="13">
        <v>0</v>
      </c>
      <c r="AB50" s="13"/>
      <c r="AC50" s="13">
        <f>(1 - CUSTOS!$M$32)*200.1448</f>
        <v>110.07964000000001</v>
      </c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P50" s="13">
        <f>IF((1 - CUSTOS!$M$32)&lt;&gt;0,1/(1 - CUSTOS!$M$32),1)</f>
        <v>1.8181818181818181</v>
      </c>
    </row>
    <row r="51" spans="1:42" ht="11.25" customHeight="1" x14ac:dyDescent="0.3">
      <c r="A51" s="91"/>
      <c r="B51" s="91"/>
      <c r="C51" s="91"/>
      <c r="D51" s="18" t="s">
        <v>87</v>
      </c>
      <c r="E51" s="18" t="s">
        <v>25</v>
      </c>
      <c r="F51" s="18" t="s">
        <v>25</v>
      </c>
      <c r="G51" s="18" t="s">
        <v>74</v>
      </c>
      <c r="H51" s="18" t="s">
        <v>68</v>
      </c>
      <c r="I51" s="18">
        <f>'MERCADO TUSD'!$U$48</f>
        <v>0</v>
      </c>
      <c r="J51" s="15"/>
      <c r="L51" s="13"/>
      <c r="M51" s="13"/>
      <c r="N51" s="13"/>
      <c r="O51" s="13"/>
      <c r="P51" s="13"/>
      <c r="Q51" s="13"/>
      <c r="R51" s="13"/>
      <c r="S51" s="13"/>
      <c r="T51" s="13"/>
      <c r="U51" s="13">
        <v>0</v>
      </c>
      <c r="V51" s="13">
        <v>0</v>
      </c>
      <c r="W51" s="13">
        <v>0</v>
      </c>
      <c r="X51" s="13">
        <v>0</v>
      </c>
      <c r="Y51" s="13">
        <f>(1 - CUSTOS!$M$33)*99.3975</f>
        <v>59.638499999999993</v>
      </c>
      <c r="Z51" s="13">
        <v>0</v>
      </c>
      <c r="AA51" s="13">
        <v>0</v>
      </c>
      <c r="AB51" s="13"/>
      <c r="AC51" s="13">
        <f>(1 - CUSTOS!$M$33)*200.1448</f>
        <v>120.08687999999999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P51" s="13">
        <f>IF((1 - CUSTOS!$M$33)&lt;&gt;0,1/(1 - CUSTOS!$M$33),1)</f>
        <v>1.6666666666666667</v>
      </c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62BF-8546-4283-8A34-E854F3216D90}">
  <dimension ref="A1:AP70"/>
  <sheetViews>
    <sheetView showGridLines="0" topLeftCell="D41" workbookViewId="0">
      <selection activeCell="K62" sqref="K62:P62"/>
    </sheetView>
  </sheetViews>
  <sheetFormatPr defaultRowHeight="11.25" customHeight="1" x14ac:dyDescent="0.3"/>
  <cols>
    <col min="1" max="1" width="9" style="9" bestFit="1" customWidth="1"/>
    <col min="2" max="2" width="19.441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9" width="7.109375" style="9" bestFit="1" customWidth="1"/>
    <col min="10" max="10" width="8.88671875" style="9"/>
    <col min="11" max="11" width="14.109375" style="9" bestFit="1" customWidth="1"/>
    <col min="12" max="12" width="12.44140625" style="9" bestFit="1" customWidth="1"/>
    <col min="13" max="13" width="9.5546875" style="9" bestFit="1" customWidth="1"/>
    <col min="14" max="14" width="10.77734375" style="9" bestFit="1" customWidth="1"/>
    <col min="15" max="16" width="8.21875" style="9" bestFit="1" customWidth="1"/>
    <col min="17" max="17" width="9.109375" style="9" bestFit="1" customWidth="1"/>
    <col min="18" max="18" width="7.88671875" style="9" bestFit="1" customWidth="1"/>
    <col min="19" max="19" width="8" style="9" bestFit="1" customWidth="1"/>
    <col min="20" max="20" width="9.109375" style="9" bestFit="1" customWidth="1"/>
    <col min="21" max="21" width="7.109375" style="9" bestFit="1" customWidth="1"/>
    <col min="22" max="22" width="7" style="9" bestFit="1" customWidth="1"/>
    <col min="23" max="23" width="9.21875" style="9" bestFit="1" customWidth="1"/>
    <col min="24" max="24" width="9.33203125" style="9" bestFit="1" customWidth="1"/>
    <col min="25" max="25" width="9.109375" style="9" bestFit="1" customWidth="1"/>
    <col min="26" max="26" width="7.109375" style="9" bestFit="1" customWidth="1"/>
    <col min="27" max="27" width="9.33203125" style="9" bestFit="1" customWidth="1"/>
    <col min="28" max="28" width="9.109375" style="9" bestFit="1" customWidth="1"/>
    <col min="29" max="29" width="11.109375" style="9" bestFit="1" customWidth="1"/>
    <col min="30" max="30" width="9.5546875" style="9" bestFit="1" customWidth="1"/>
    <col min="31" max="31" width="7.77734375" style="9" bestFit="1" customWidth="1"/>
    <col min="32" max="32" width="6.88671875" style="9" bestFit="1" customWidth="1"/>
    <col min="33" max="33" width="8.5546875" style="9" bestFit="1" customWidth="1"/>
    <col min="34" max="34" width="14.44140625" style="9" bestFit="1" customWidth="1"/>
    <col min="35" max="35" width="17.5546875" style="9" bestFit="1" customWidth="1"/>
    <col min="36" max="36" width="18.109375" style="9" bestFit="1" customWidth="1"/>
    <col min="37" max="37" width="3.5546875" style="9" bestFit="1" customWidth="1"/>
    <col min="38" max="38" width="8.5546875" style="9" bestFit="1" customWidth="1"/>
    <col min="39" max="39" width="9.5546875" style="9" bestFit="1" customWidth="1"/>
    <col min="40" max="41" width="8.88671875" style="9"/>
    <col min="42" max="42" width="7.21875" style="9" bestFit="1" customWidth="1"/>
    <col min="43" max="16384" width="8.88671875" style="9"/>
  </cols>
  <sheetData>
    <row r="1" spans="1:42" ht="11.25" customHeight="1" x14ac:dyDescent="0.3">
      <c r="A1" s="92" t="s">
        <v>58</v>
      </c>
      <c r="B1" s="92" t="s">
        <v>59</v>
      </c>
      <c r="C1" s="92" t="s">
        <v>60</v>
      </c>
      <c r="D1" s="92" t="s">
        <v>61</v>
      </c>
      <c r="E1" s="92" t="s">
        <v>62</v>
      </c>
      <c r="F1" s="92" t="s">
        <v>15</v>
      </c>
      <c r="G1" s="92" t="s">
        <v>64</v>
      </c>
      <c r="H1" s="92" t="s">
        <v>65</v>
      </c>
      <c r="I1" s="92" t="s">
        <v>468</v>
      </c>
      <c r="J1" s="80"/>
      <c r="L1" s="93" t="s">
        <v>469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P1" s="93" t="s">
        <v>470</v>
      </c>
    </row>
    <row r="2" spans="1:42" ht="11.2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80"/>
      <c r="L2" s="93" t="s">
        <v>367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P2" s="94"/>
    </row>
    <row r="3" spans="1:42" ht="11.25" customHeight="1" x14ac:dyDescent="0.3">
      <c r="A3" s="92"/>
      <c r="B3" s="92"/>
      <c r="C3" s="92"/>
      <c r="D3" s="92"/>
      <c r="E3" s="92"/>
      <c r="F3" s="92"/>
      <c r="G3" s="92"/>
      <c r="H3" s="92"/>
      <c r="I3" s="92"/>
      <c r="J3" s="80"/>
      <c r="L3" s="93" t="s">
        <v>368</v>
      </c>
      <c r="M3" s="93"/>
      <c r="N3" s="93"/>
      <c r="O3" s="93"/>
      <c r="P3" s="93"/>
      <c r="Q3" s="93"/>
      <c r="R3" s="93"/>
      <c r="S3" s="93"/>
      <c r="T3" s="93"/>
      <c r="U3" s="93" t="s">
        <v>377</v>
      </c>
      <c r="V3" s="93"/>
      <c r="W3" s="93"/>
      <c r="X3" s="93"/>
      <c r="Y3" s="93"/>
      <c r="Z3" s="93"/>
      <c r="AA3" s="93"/>
      <c r="AB3" s="93"/>
      <c r="AC3" s="93" t="s">
        <v>385</v>
      </c>
      <c r="AD3" s="93"/>
      <c r="AE3" s="93" t="s">
        <v>387</v>
      </c>
      <c r="AF3" s="93"/>
      <c r="AG3" s="93"/>
      <c r="AH3" s="93" t="s">
        <v>390</v>
      </c>
      <c r="AI3" s="93"/>
      <c r="AJ3" s="93"/>
      <c r="AK3" s="93"/>
      <c r="AL3" s="93"/>
      <c r="AM3" s="93" t="s">
        <v>376</v>
      </c>
      <c r="AP3" s="94"/>
    </row>
    <row r="4" spans="1:42" ht="11.25" customHeight="1" x14ac:dyDescent="0.3">
      <c r="A4" s="92"/>
      <c r="B4" s="92"/>
      <c r="C4" s="92"/>
      <c r="D4" s="92"/>
      <c r="E4" s="92"/>
      <c r="F4" s="92"/>
      <c r="G4" s="92"/>
      <c r="H4" s="92"/>
      <c r="I4" s="92"/>
      <c r="J4" s="80"/>
      <c r="L4" s="10" t="s">
        <v>453</v>
      </c>
      <c r="M4" s="10" t="s">
        <v>369</v>
      </c>
      <c r="N4" s="10" t="s">
        <v>370</v>
      </c>
      <c r="O4" s="10" t="s">
        <v>371</v>
      </c>
      <c r="P4" s="10" t="s">
        <v>372</v>
      </c>
      <c r="Q4" s="10" t="s">
        <v>373</v>
      </c>
      <c r="R4" s="10" t="s">
        <v>374</v>
      </c>
      <c r="S4" s="10" t="s">
        <v>375</v>
      </c>
      <c r="T4" s="10" t="s">
        <v>376</v>
      </c>
      <c r="U4" s="10" t="s">
        <v>378</v>
      </c>
      <c r="V4" s="10" t="s">
        <v>379</v>
      </c>
      <c r="W4" s="10" t="s">
        <v>380</v>
      </c>
      <c r="X4" s="10" t="s">
        <v>381</v>
      </c>
      <c r="Y4" s="10" t="s">
        <v>382</v>
      </c>
      <c r="Z4" s="10" t="s">
        <v>383</v>
      </c>
      <c r="AA4" s="10" t="s">
        <v>384</v>
      </c>
      <c r="AB4" s="10" t="s">
        <v>376</v>
      </c>
      <c r="AC4" s="10" t="s">
        <v>386</v>
      </c>
      <c r="AD4" s="10" t="s">
        <v>376</v>
      </c>
      <c r="AE4" s="10" t="s">
        <v>388</v>
      </c>
      <c r="AF4" s="10" t="s">
        <v>389</v>
      </c>
      <c r="AG4" s="10" t="s">
        <v>376</v>
      </c>
      <c r="AH4" s="10" t="s">
        <v>391</v>
      </c>
      <c r="AI4" s="10" t="s">
        <v>392</v>
      </c>
      <c r="AJ4" s="10" t="s">
        <v>393</v>
      </c>
      <c r="AK4" s="10" t="s">
        <v>394</v>
      </c>
      <c r="AL4" s="10" t="s">
        <v>376</v>
      </c>
      <c r="AM4" s="95"/>
      <c r="AP4" s="94"/>
    </row>
    <row r="5" spans="1:42" ht="11.25" customHeight="1" x14ac:dyDescent="0.3">
      <c r="A5" s="91" t="s">
        <v>33</v>
      </c>
      <c r="B5" s="91" t="s">
        <v>34</v>
      </c>
      <c r="C5" s="91" t="s">
        <v>25</v>
      </c>
      <c r="D5" s="91" t="s">
        <v>25</v>
      </c>
      <c r="E5" s="91" t="s">
        <v>25</v>
      </c>
      <c r="F5" s="91" t="s">
        <v>25</v>
      </c>
      <c r="G5" s="18" t="s">
        <v>72</v>
      </c>
      <c r="H5" s="18" t="s">
        <v>71</v>
      </c>
      <c r="I5" s="18">
        <f>'MERCADO TUSD'!$U$2</f>
        <v>8229</v>
      </c>
      <c r="J5" s="15"/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/>
      <c r="U5" s="13">
        <f>TRANSICAO!$U$5*CUSTOS!$R$3</f>
        <v>0</v>
      </c>
      <c r="V5" s="13">
        <f>TRANSICAO!$V$5*CUSTOS!$R$3</f>
        <v>0</v>
      </c>
      <c r="W5" s="13">
        <f>TRANSICAO!$W$5*CUSTOS!$R$3</f>
        <v>0</v>
      </c>
      <c r="X5" s="13">
        <f>TRANSICAO!$X$5*CUSTOS!$R$3</f>
        <v>0</v>
      </c>
      <c r="Y5" s="13">
        <f>TRANSICAO!$Y$5*CUSTOS!$R$3</f>
        <v>30.4818</v>
      </c>
      <c r="Z5" s="13">
        <f>TRANSICAO!$Z$5*CUSTOS!$R$3</f>
        <v>0</v>
      </c>
      <c r="AA5" s="13">
        <f>TRANSICAO!$AA$5*CUSTOS!$R$3</f>
        <v>0</v>
      </c>
      <c r="AB5" s="13">
        <f>TRANSICAO!$AB$5*CUSTOS!$R$3</f>
        <v>0</v>
      </c>
      <c r="AC5" s="13">
        <f>TRANSICAO!$AC$5*CUSTOS!$R$3</f>
        <v>48.090899999999998</v>
      </c>
      <c r="AD5" s="13">
        <f>TRANSICAO!$AD$5*CUSTOS!$R$3</f>
        <v>0</v>
      </c>
      <c r="AE5" s="13">
        <v>0</v>
      </c>
      <c r="AF5" s="13">
        <v>0</v>
      </c>
      <c r="AG5" s="13"/>
      <c r="AH5" s="13">
        <v>0</v>
      </c>
      <c r="AI5" s="13">
        <v>0</v>
      </c>
      <c r="AJ5" s="13">
        <v>0</v>
      </c>
      <c r="AK5" s="13">
        <f t="shared" ref="AK5:AK51" si="0">AJ5</f>
        <v>0</v>
      </c>
      <c r="AL5" s="13"/>
      <c r="AM5" s="13"/>
      <c r="AP5" s="13">
        <v>1</v>
      </c>
    </row>
    <row r="6" spans="1:42" ht="11.25" customHeight="1" x14ac:dyDescent="0.3">
      <c r="A6" s="91"/>
      <c r="B6" s="91"/>
      <c r="C6" s="91"/>
      <c r="D6" s="91"/>
      <c r="E6" s="91"/>
      <c r="F6" s="91"/>
      <c r="G6" s="18" t="s">
        <v>73</v>
      </c>
      <c r="H6" s="18" t="s">
        <v>71</v>
      </c>
      <c r="I6" s="18">
        <f>'MERCADO TUSD'!$U$3</f>
        <v>8328</v>
      </c>
      <c r="J6" s="15"/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/>
      <c r="U6" s="13">
        <f>TRANSICAO!$U$6*CUSTOS!$R$3</f>
        <v>0</v>
      </c>
      <c r="V6" s="13">
        <f>TRANSICAO!$V$6*CUSTOS!$R$3</f>
        <v>0</v>
      </c>
      <c r="W6" s="13">
        <f>TRANSICAO!$W$6*CUSTOS!$R$3</f>
        <v>0</v>
      </c>
      <c r="X6" s="13">
        <f>TRANSICAO!$X$6*CUSTOS!$R$3</f>
        <v>0</v>
      </c>
      <c r="Y6" s="13">
        <f>TRANSICAO!$Y$6*CUSTOS!$R$3</f>
        <v>12.320399999999999</v>
      </c>
      <c r="Z6" s="13">
        <f>TRANSICAO!$Z$6*CUSTOS!$R$3</f>
        <v>0</v>
      </c>
      <c r="AA6" s="13">
        <f>TRANSICAO!$AA$6*CUSTOS!$R$3</f>
        <v>0</v>
      </c>
      <c r="AB6" s="13">
        <f>TRANSICAO!$AB$6*CUSTOS!$R$3</f>
        <v>0</v>
      </c>
      <c r="AC6" s="13">
        <f>TRANSICAO!$AC$6*CUSTOS!$R$3</f>
        <v>13.4383</v>
      </c>
      <c r="AD6" s="13">
        <f>TRANSICAO!$AD$6*CUSTOS!$R$3</f>
        <v>0</v>
      </c>
      <c r="AE6" s="13">
        <v>0</v>
      </c>
      <c r="AF6" s="13">
        <v>0</v>
      </c>
      <c r="AG6" s="13"/>
      <c r="AH6" s="13">
        <v>0</v>
      </c>
      <c r="AI6" s="13">
        <v>0</v>
      </c>
      <c r="AJ6" s="13">
        <v>0</v>
      </c>
      <c r="AK6" s="13">
        <f t="shared" si="0"/>
        <v>0</v>
      </c>
      <c r="AL6" s="13"/>
      <c r="AM6" s="13"/>
      <c r="AP6" s="13">
        <v>1</v>
      </c>
    </row>
    <row r="7" spans="1:42" ht="11.25" customHeight="1" x14ac:dyDescent="0.3">
      <c r="A7" s="91"/>
      <c r="B7" s="91"/>
      <c r="C7" s="91"/>
      <c r="D7" s="91"/>
      <c r="E7" s="91"/>
      <c r="F7" s="91"/>
      <c r="G7" s="18" t="s">
        <v>74</v>
      </c>
      <c r="H7" s="18" t="s">
        <v>68</v>
      </c>
      <c r="I7" s="18">
        <f>'MERCADO TUSD'!$U$4</f>
        <v>2993.7760000000003</v>
      </c>
      <c r="J7" s="15"/>
      <c r="L7" s="13">
        <f>0.84</f>
        <v>0.84</v>
      </c>
      <c r="M7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0.62764262856878683</v>
      </c>
      <c r="N7" s="13">
        <f ca="1">(+M7+O7+R7+U7+V7+W7+X7+Y7+Z7+AA7+AC7+AH7+AI7+AJ7+AK7)*CUSTOS!$M$5</f>
        <v>2.1788642628568788E-13</v>
      </c>
      <c r="O7" s="13">
        <v>1</v>
      </c>
      <c r="P7" s="13">
        <v>1</v>
      </c>
      <c r="Q7" s="13">
        <f>0.84</f>
        <v>0.84</v>
      </c>
      <c r="R7" s="13">
        <v>1</v>
      </c>
      <c r="S7" s="13">
        <v>1</v>
      </c>
      <c r="T7" s="13"/>
      <c r="U7" s="13">
        <f>TRANSICAO!$U$7*CUSTOS!$R$3</f>
        <v>0</v>
      </c>
      <c r="V7" s="13">
        <f>TRANSICAO!$V$7*CUSTOS!$R$3</f>
        <v>0</v>
      </c>
      <c r="W7" s="13">
        <f>TRANSICAO!$W$7*CUSTOS!$R$3</f>
        <v>0</v>
      </c>
      <c r="X7" s="13">
        <f>TRANSICAO!$X$7*CUSTOS!$R$3</f>
        <v>0</v>
      </c>
      <c r="Y7" s="13">
        <f>TRANSICAO!$Y$7*CUSTOS!$R$3</f>
        <v>0</v>
      </c>
      <c r="Z7" s="13">
        <f>TRANSICAO!$Z$7*CUSTOS!$R$3</f>
        <v>0</v>
      </c>
      <c r="AA7" s="13">
        <f>TRANSICAO!$AA$7*CUSTOS!$R$3</f>
        <v>0</v>
      </c>
      <c r="AB7" s="13">
        <f>TRANSICAO!$AB$7*CUSTOS!$R$3</f>
        <v>0</v>
      </c>
      <c r="AC7" s="13">
        <f>TRANSICAO!$AC$7*CUSTOS!$R$3</f>
        <v>0</v>
      </c>
      <c r="AD7" s="13">
        <f>TRANSICAO!$AD$7*CUSTOS!$R$3</f>
        <v>0</v>
      </c>
      <c r="AE7" s="13">
        <v>0</v>
      </c>
      <c r="AF7" s="13">
        <v>0</v>
      </c>
      <c r="AG7" s="13"/>
      <c r="AH7" s="13">
        <v>9.5805000000000007</v>
      </c>
      <c r="AI7" s="13">
        <v>9.5805000000000007</v>
      </c>
      <c r="AJ7" s="13">
        <f ca="1">$N$63</f>
        <v>0</v>
      </c>
      <c r="AK7" s="13">
        <f t="shared" ca="1" si="0"/>
        <v>0</v>
      </c>
      <c r="AL7" s="13"/>
      <c r="AM7" s="13"/>
      <c r="AP7" s="13">
        <v>1</v>
      </c>
    </row>
    <row r="8" spans="1:42" ht="11.25" customHeight="1" x14ac:dyDescent="0.3">
      <c r="A8" s="91"/>
      <c r="B8" s="91"/>
      <c r="C8" s="91"/>
      <c r="D8" s="91"/>
      <c r="E8" s="17" t="s">
        <v>75</v>
      </c>
      <c r="F8" s="17" t="s">
        <v>25</v>
      </c>
      <c r="G8" s="18" t="s">
        <v>74</v>
      </c>
      <c r="H8" s="18" t="s">
        <v>68</v>
      </c>
      <c r="I8" s="18">
        <f>'MERCADO TUSD'!$U$5</f>
        <v>0</v>
      </c>
      <c r="J8" s="15"/>
      <c r="L8" s="13">
        <v>0</v>
      </c>
      <c r="M8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0.62764262856878683</v>
      </c>
      <c r="N8" s="13">
        <f ca="1">(+M8+O8+R8+U8+V8+W8+X8+Y8+Z8+AA8+AC8+AH8+AI8+AJ8+AK8)*CUSTOS!$M$5</f>
        <v>2.0788642628568787E-13</v>
      </c>
      <c r="O8" s="13">
        <v>1</v>
      </c>
      <c r="P8" s="13">
        <v>0</v>
      </c>
      <c r="Q8" s="13">
        <v>0</v>
      </c>
      <c r="R8" s="13">
        <v>0</v>
      </c>
      <c r="S8" s="13">
        <v>0</v>
      </c>
      <c r="T8" s="13"/>
      <c r="U8" s="13">
        <f>TRANSICAO!$U$8*CUSTOS!$R$3</f>
        <v>0</v>
      </c>
      <c r="V8" s="13">
        <f>TRANSICAO!$V$8*CUSTOS!$R$3</f>
        <v>0</v>
      </c>
      <c r="W8" s="13">
        <f>TRANSICAO!$W$8*CUSTOS!$R$3</f>
        <v>0</v>
      </c>
      <c r="X8" s="13">
        <f>TRANSICAO!$X$8*CUSTOS!$R$3</f>
        <v>0</v>
      </c>
      <c r="Y8" s="13">
        <f>TRANSICAO!$Y$8*CUSTOS!$R$3</f>
        <v>0</v>
      </c>
      <c r="Z8" s="13">
        <f>TRANSICAO!$Z$8*CUSTOS!$R$3</f>
        <v>0</v>
      </c>
      <c r="AA8" s="13">
        <f>TRANSICAO!$AA$8*CUSTOS!$R$3</f>
        <v>0</v>
      </c>
      <c r="AB8" s="13">
        <f>TRANSICAO!$AB$8*CUSTOS!$R$3</f>
        <v>0</v>
      </c>
      <c r="AC8" s="13">
        <f>TRANSICAO!$AC$8*CUSTOS!$R$3</f>
        <v>0</v>
      </c>
      <c r="AD8" s="13">
        <f>TRANSICAO!$AD$8*CUSTOS!$R$3</f>
        <v>0</v>
      </c>
      <c r="AE8" s="13">
        <v>0</v>
      </c>
      <c r="AF8" s="13">
        <v>0</v>
      </c>
      <c r="AG8" s="13"/>
      <c r="AH8" s="13">
        <v>9.5805000000000007</v>
      </c>
      <c r="AI8" s="13">
        <v>9.5805000000000007</v>
      </c>
      <c r="AJ8" s="13">
        <f ca="1">$N$63</f>
        <v>0</v>
      </c>
      <c r="AK8" s="13">
        <f t="shared" ca="1" si="0"/>
        <v>0</v>
      </c>
      <c r="AL8" s="13"/>
      <c r="AM8" s="13"/>
      <c r="AP8" s="13">
        <v>1</v>
      </c>
    </row>
    <row r="9" spans="1:42" ht="11.25" customHeight="1" x14ac:dyDescent="0.3">
      <c r="A9" s="91"/>
      <c r="B9" s="17" t="s">
        <v>76</v>
      </c>
      <c r="C9" s="17" t="s">
        <v>25</v>
      </c>
      <c r="D9" s="17" t="s">
        <v>25</v>
      </c>
      <c r="E9" s="17" t="s">
        <v>25</v>
      </c>
      <c r="F9" s="17" t="s">
        <v>25</v>
      </c>
      <c r="G9" s="18" t="s">
        <v>9</v>
      </c>
      <c r="H9" s="18" t="s">
        <v>71</v>
      </c>
      <c r="I9" s="18">
        <f>'MERCADO TUSD'!$U$6</f>
        <v>0</v>
      </c>
      <c r="J9" s="15"/>
      <c r="L9" s="13">
        <v>0</v>
      </c>
      <c r="M9" s="13">
        <v>1.0200000000000001E-2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/>
      <c r="U9" s="13">
        <f>TRANSICAO!$U$9*CUSTOS!$R$4</f>
        <v>0</v>
      </c>
      <c r="V9" s="13">
        <f>TRANSICAO!$V$9*CUSTOS!$R$4</f>
        <v>0</v>
      </c>
      <c r="W9" s="13">
        <f>TRANSICAO!$W$9*CUSTOS!$R$4</f>
        <v>0</v>
      </c>
      <c r="X9" s="13">
        <f>TRANSICAO!$X$9*CUSTOS!$R$4</f>
        <v>0</v>
      </c>
      <c r="Y9" s="13">
        <f>TRANSICAO!$Y$9*CUSTOS!$R$4</f>
        <v>0</v>
      </c>
      <c r="Z9" s="13">
        <f>TRANSICAO!$Z$9*CUSTOS!$R$4</f>
        <v>0</v>
      </c>
      <c r="AA9" s="13">
        <f>TRANSICAO!$AA$9*CUSTOS!$R$4</f>
        <v>0</v>
      </c>
      <c r="AB9" s="13">
        <f>TRANSICAO!$AB$9*CUSTOS!$R$4</f>
        <v>0</v>
      </c>
      <c r="AC9" s="13">
        <f>TRANSICAO!$AC$9*CUSTOS!$R$4</f>
        <v>6.0793999999999997</v>
      </c>
      <c r="AD9" s="13">
        <f>TRANSICAO!$AD$9*CUSTOS!$R$4</f>
        <v>0</v>
      </c>
      <c r="AE9" s="13">
        <v>0</v>
      </c>
      <c r="AF9" s="13">
        <v>0</v>
      </c>
      <c r="AG9" s="13"/>
      <c r="AH9" s="13">
        <v>0</v>
      </c>
      <c r="AI9" s="13">
        <v>0</v>
      </c>
      <c r="AJ9" s="13">
        <v>0</v>
      </c>
      <c r="AK9" s="13">
        <f t="shared" si="0"/>
        <v>0</v>
      </c>
      <c r="AL9" s="13"/>
      <c r="AM9" s="13"/>
      <c r="AP9" s="13"/>
    </row>
    <row r="10" spans="1:42" ht="11.25" customHeight="1" x14ac:dyDescent="0.3">
      <c r="A10" s="91"/>
      <c r="B10" s="91" t="s">
        <v>37</v>
      </c>
      <c r="C10" s="91" t="s">
        <v>25</v>
      </c>
      <c r="D10" s="91" t="s">
        <v>25</v>
      </c>
      <c r="E10" s="91" t="s">
        <v>25</v>
      </c>
      <c r="F10" s="91" t="s">
        <v>25</v>
      </c>
      <c r="G10" s="18" t="s">
        <v>9</v>
      </c>
      <c r="H10" s="18" t="s">
        <v>71</v>
      </c>
      <c r="I10" s="18">
        <f>'MERCADO TUSD'!$U$7</f>
        <v>36616</v>
      </c>
      <c r="J10" s="15"/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/>
      <c r="U10" s="13">
        <f>TRANSICAO!$U$10*CUSTOS!$R$3</f>
        <v>0</v>
      </c>
      <c r="V10" s="13">
        <f>TRANSICAO!$V$10*CUSTOS!$R$3</f>
        <v>0</v>
      </c>
      <c r="W10" s="13">
        <f>TRANSICAO!$W$10*CUSTOS!$R$3</f>
        <v>0</v>
      </c>
      <c r="X10" s="13">
        <f>TRANSICAO!$X$10*CUSTOS!$R$3</f>
        <v>0</v>
      </c>
      <c r="Y10" s="13">
        <f>TRANSICAO!$Y$10*CUSTOS!$R$3</f>
        <v>12.320399999999999</v>
      </c>
      <c r="Z10" s="13">
        <f>TRANSICAO!$Z$10*CUSTOS!$R$3</f>
        <v>0</v>
      </c>
      <c r="AA10" s="13">
        <f>TRANSICAO!$AA$10*CUSTOS!$R$3</f>
        <v>0</v>
      </c>
      <c r="AB10" s="13">
        <f>TRANSICAO!$AB$10*CUSTOS!$R$3</f>
        <v>0</v>
      </c>
      <c r="AC10" s="13">
        <f>TRANSICAO!$AC$10*CUSTOS!$R$3</f>
        <v>13.4383</v>
      </c>
      <c r="AD10" s="13">
        <f>TRANSICAO!$AD$10*CUSTOS!$R$3</f>
        <v>0</v>
      </c>
      <c r="AE10" s="13">
        <v>0</v>
      </c>
      <c r="AF10" s="13">
        <v>0</v>
      </c>
      <c r="AG10" s="13"/>
      <c r="AH10" s="13">
        <v>0</v>
      </c>
      <c r="AI10" s="13">
        <v>0</v>
      </c>
      <c r="AJ10" s="13">
        <v>0</v>
      </c>
      <c r="AK10" s="13">
        <f t="shared" si="0"/>
        <v>0</v>
      </c>
      <c r="AL10" s="13"/>
      <c r="AM10" s="13"/>
      <c r="AP10" s="13">
        <v>1</v>
      </c>
    </row>
    <row r="11" spans="1:42" ht="11.25" customHeight="1" x14ac:dyDescent="0.3">
      <c r="A11" s="91"/>
      <c r="B11" s="91"/>
      <c r="C11" s="91"/>
      <c r="D11" s="91"/>
      <c r="E11" s="91"/>
      <c r="F11" s="91"/>
      <c r="G11" s="18" t="s">
        <v>69</v>
      </c>
      <c r="H11" s="18" t="s">
        <v>68</v>
      </c>
      <c r="I11" s="18">
        <f>'MERCADO TUSD'!$U$8</f>
        <v>561.45399999999995</v>
      </c>
      <c r="J11" s="15"/>
      <c r="L11" s="13">
        <f>0.84</f>
        <v>0.84</v>
      </c>
      <c r="M11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0.62764262856878683</v>
      </c>
      <c r="N11" s="13">
        <f ca="1">(+M11+O11+R11+U11+V11+W11+X11+Y11+Z11+AA11+AC11+AH11+AI11+AJ11+AK11)*CUSTOS!$M$5</f>
        <v>1.9021760426285688E-11</v>
      </c>
      <c r="O11" s="13">
        <v>1</v>
      </c>
      <c r="P11" s="13">
        <v>1</v>
      </c>
      <c r="Q11" s="13">
        <f>0.84</f>
        <v>0.84</v>
      </c>
      <c r="R11" s="13">
        <v>1</v>
      </c>
      <c r="S11" s="13">
        <v>1</v>
      </c>
      <c r="T11" s="13"/>
      <c r="U11" s="13">
        <f>TRANSICAO!$U$11*CUSTOS!$R$3</f>
        <v>0</v>
      </c>
      <c r="V11" s="13">
        <f>TRANSICAO!$V$11*CUSTOS!$R$3</f>
        <v>0</v>
      </c>
      <c r="W11" s="13">
        <f>TRANSICAO!$W$11*CUSTOS!$R$3</f>
        <v>0</v>
      </c>
      <c r="X11" s="13">
        <f>TRANSICAO!$X$11*CUSTOS!$R$3</f>
        <v>0</v>
      </c>
      <c r="Y11" s="13">
        <f>TRANSICAO!$Y$11*CUSTOS!$R$3</f>
        <v>733.38139999999999</v>
      </c>
      <c r="Z11" s="13">
        <f>TRANSICAO!$Z$11*CUSTOS!$R$3</f>
        <v>0</v>
      </c>
      <c r="AA11" s="13">
        <f>TRANSICAO!$AA$11*CUSTOS!$R$3</f>
        <v>0</v>
      </c>
      <c r="AB11" s="13">
        <f>TRANSICAO!$AB$11*CUSTOS!$R$3</f>
        <v>0</v>
      </c>
      <c r="AC11" s="13">
        <f>TRANSICAO!$AC$11*CUSTOS!$R$3</f>
        <v>1156.5864999999999</v>
      </c>
      <c r="AD11" s="13">
        <f>TRANSICAO!$AD$11*CUSTOS!$R$3</f>
        <v>0</v>
      </c>
      <c r="AE11" s="13">
        <v>0</v>
      </c>
      <c r="AF11" s="13">
        <v>0</v>
      </c>
      <c r="AG11" s="13"/>
      <c r="AH11" s="13">
        <v>9.5805000000000007</v>
      </c>
      <c r="AI11" s="13">
        <v>0</v>
      </c>
      <c r="AJ11" s="13">
        <f ca="1">$N$63</f>
        <v>0</v>
      </c>
      <c r="AK11" s="13">
        <f t="shared" ca="1" si="0"/>
        <v>0</v>
      </c>
      <c r="AL11" s="13"/>
      <c r="AM11" s="13"/>
      <c r="AP11" s="13">
        <v>1</v>
      </c>
    </row>
    <row r="12" spans="1:42" ht="11.25" customHeight="1" x14ac:dyDescent="0.3">
      <c r="A12" s="91"/>
      <c r="B12" s="91"/>
      <c r="C12" s="91"/>
      <c r="D12" s="91"/>
      <c r="E12" s="91"/>
      <c r="F12" s="91"/>
      <c r="G12" s="18" t="s">
        <v>70</v>
      </c>
      <c r="H12" s="18" t="s">
        <v>68</v>
      </c>
      <c r="I12" s="18">
        <f>'MERCADO TUSD'!$U$9</f>
        <v>7702.3809999999985</v>
      </c>
      <c r="J12" s="15"/>
      <c r="L12" s="13">
        <f>0.84</f>
        <v>0.84</v>
      </c>
      <c r="M12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0.62764262856878683</v>
      </c>
      <c r="N12" s="13">
        <f ca="1">(+M12+O12+R12+U12+V12+W12+X12+Y12+Z12+AA12+AC12+AH12+AI12+AJ12+AK12)*CUSTOS!$M$5</f>
        <v>1.2208142628568786E-13</v>
      </c>
      <c r="O12" s="13">
        <v>1</v>
      </c>
      <c r="P12" s="13">
        <v>1</v>
      </c>
      <c r="Q12" s="13">
        <f>0.84</f>
        <v>0.84</v>
      </c>
      <c r="R12" s="13">
        <v>1</v>
      </c>
      <c r="S12" s="13">
        <v>1</v>
      </c>
      <c r="T12" s="13"/>
      <c r="U12" s="13">
        <f>TRANSICAO!$U$12*CUSTOS!$R$3</f>
        <v>0</v>
      </c>
      <c r="V12" s="13">
        <f>TRANSICAO!$V$12*CUSTOS!$R$3</f>
        <v>0</v>
      </c>
      <c r="W12" s="13">
        <f>TRANSICAO!$W$12*CUSTOS!$R$3</f>
        <v>0</v>
      </c>
      <c r="X12" s="13">
        <f>TRANSICAO!$X$12*CUSTOS!$R$3</f>
        <v>0</v>
      </c>
      <c r="Y12" s="13">
        <f>TRANSICAO!$Y$12*CUSTOS!$R$3</f>
        <v>0</v>
      </c>
      <c r="Z12" s="13">
        <f>TRANSICAO!$Z$12*CUSTOS!$R$3</f>
        <v>0</v>
      </c>
      <c r="AA12" s="13">
        <f>TRANSICAO!$AA$12*CUSTOS!$R$3</f>
        <v>0</v>
      </c>
      <c r="AB12" s="13">
        <f>TRANSICAO!$AB$12*CUSTOS!$R$3</f>
        <v>0</v>
      </c>
      <c r="AC12" s="13">
        <f>TRANSICAO!$AC$12*CUSTOS!$R$3</f>
        <v>0</v>
      </c>
      <c r="AD12" s="13">
        <f>TRANSICAO!$AD$12*CUSTOS!$R$3</f>
        <v>0</v>
      </c>
      <c r="AE12" s="13">
        <v>0</v>
      </c>
      <c r="AF12" s="13">
        <v>0</v>
      </c>
      <c r="AG12" s="13"/>
      <c r="AH12" s="13">
        <v>9.5805000000000007</v>
      </c>
      <c r="AI12" s="13">
        <v>0</v>
      </c>
      <c r="AJ12" s="13">
        <f ca="1">$N$63</f>
        <v>0</v>
      </c>
      <c r="AK12" s="13">
        <f t="shared" ca="1" si="0"/>
        <v>0</v>
      </c>
      <c r="AL12" s="13"/>
      <c r="AM12" s="13"/>
      <c r="AP12" s="13">
        <v>1</v>
      </c>
    </row>
    <row r="13" spans="1:42" ht="11.25" customHeight="1" x14ac:dyDescent="0.3">
      <c r="A13" s="91"/>
      <c r="B13" s="91"/>
      <c r="C13" s="91"/>
      <c r="D13" s="91"/>
      <c r="E13" s="91" t="s">
        <v>75</v>
      </c>
      <c r="F13" s="91" t="s">
        <v>25</v>
      </c>
      <c r="G13" s="18" t="s">
        <v>69</v>
      </c>
      <c r="H13" s="18" t="s">
        <v>68</v>
      </c>
      <c r="I13" s="18">
        <f>'MERCADO TUSD'!$U$10</f>
        <v>0</v>
      </c>
      <c r="J13" s="15"/>
      <c r="L13" s="13">
        <v>0</v>
      </c>
      <c r="M13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0.62764262856878683</v>
      </c>
      <c r="N13" s="13">
        <f ca="1">(+M13+O13+R13+U13+V13+W13+X13+Y13+Z13+AA13+AC13+AH13+AI13+AJ13+AK13)*CUSTOS!$M$5</f>
        <v>1.9011760426285686E-11</v>
      </c>
      <c r="O13" s="13">
        <v>1</v>
      </c>
      <c r="P13" s="13">
        <v>0</v>
      </c>
      <c r="Q13" s="13">
        <v>0</v>
      </c>
      <c r="R13" s="13">
        <v>0</v>
      </c>
      <c r="S13" s="13">
        <v>0</v>
      </c>
      <c r="T13" s="13"/>
      <c r="U13" s="13">
        <f>TRANSICAO!$U$13*CUSTOS!$R$3</f>
        <v>0</v>
      </c>
      <c r="V13" s="13">
        <f>TRANSICAO!$V$13*CUSTOS!$R$3</f>
        <v>0</v>
      </c>
      <c r="W13" s="13">
        <f>TRANSICAO!$W$13*CUSTOS!$R$3</f>
        <v>0</v>
      </c>
      <c r="X13" s="13">
        <f>TRANSICAO!$X$13*CUSTOS!$R$3</f>
        <v>0</v>
      </c>
      <c r="Y13" s="13">
        <f>TRANSICAO!$Y$13*CUSTOS!$R$3</f>
        <v>733.38139999999999</v>
      </c>
      <c r="Z13" s="13">
        <f>TRANSICAO!$Z$13*CUSTOS!$R$3</f>
        <v>0</v>
      </c>
      <c r="AA13" s="13">
        <f>TRANSICAO!$AA$13*CUSTOS!$R$3</f>
        <v>0</v>
      </c>
      <c r="AB13" s="13">
        <f>TRANSICAO!$AB$13*CUSTOS!$R$3</f>
        <v>0</v>
      </c>
      <c r="AC13" s="13">
        <f>TRANSICAO!$AC$13*CUSTOS!$R$3</f>
        <v>1156.5864999999999</v>
      </c>
      <c r="AD13" s="13">
        <f>TRANSICAO!$AD$13*CUSTOS!$R$3</f>
        <v>0</v>
      </c>
      <c r="AE13" s="13">
        <v>0</v>
      </c>
      <c r="AF13" s="13">
        <v>0</v>
      </c>
      <c r="AG13" s="13"/>
      <c r="AH13" s="13">
        <v>9.5805000000000007</v>
      </c>
      <c r="AI13" s="13">
        <v>0</v>
      </c>
      <c r="AJ13" s="13">
        <f ca="1">$N$63</f>
        <v>0</v>
      </c>
      <c r="AK13" s="13">
        <f t="shared" ca="1" si="0"/>
        <v>0</v>
      </c>
      <c r="AL13" s="13"/>
      <c r="AM13" s="13"/>
      <c r="AP13" s="13">
        <v>1</v>
      </c>
    </row>
    <row r="14" spans="1:42" ht="11.25" customHeight="1" x14ac:dyDescent="0.3">
      <c r="A14" s="91"/>
      <c r="B14" s="91"/>
      <c r="C14" s="91"/>
      <c r="D14" s="91"/>
      <c r="E14" s="91"/>
      <c r="F14" s="91"/>
      <c r="G14" s="18" t="s">
        <v>70</v>
      </c>
      <c r="H14" s="18" t="s">
        <v>68</v>
      </c>
      <c r="I14" s="18">
        <f>'MERCADO TUSD'!$U$11</f>
        <v>0</v>
      </c>
      <c r="J14" s="15"/>
      <c r="L14" s="13">
        <v>0</v>
      </c>
      <c r="M14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0.62764262856878683</v>
      </c>
      <c r="N14" s="13">
        <f ca="1">(+M14+O14+R14+U14+V14+W14+X14+Y14+Z14+AA14+AC14+AH14+AI14+AJ14+AK14)*CUSTOS!$M$5</f>
        <v>1.1208142628568787E-13</v>
      </c>
      <c r="O14" s="13">
        <v>1</v>
      </c>
      <c r="P14" s="13">
        <v>0</v>
      </c>
      <c r="Q14" s="13">
        <v>0</v>
      </c>
      <c r="R14" s="13">
        <v>0</v>
      </c>
      <c r="S14" s="13">
        <v>0</v>
      </c>
      <c r="T14" s="13"/>
      <c r="U14" s="13">
        <f>TRANSICAO!$U$14*CUSTOS!$R$3</f>
        <v>0</v>
      </c>
      <c r="V14" s="13">
        <f>TRANSICAO!$V$14*CUSTOS!$R$3</f>
        <v>0</v>
      </c>
      <c r="W14" s="13">
        <f>TRANSICAO!$W$14*CUSTOS!$R$3</f>
        <v>0</v>
      </c>
      <c r="X14" s="13">
        <f>TRANSICAO!$X$14*CUSTOS!$R$3</f>
        <v>0</v>
      </c>
      <c r="Y14" s="13">
        <f>TRANSICAO!$Y$14*CUSTOS!$R$3</f>
        <v>0</v>
      </c>
      <c r="Z14" s="13">
        <f>TRANSICAO!$Z$14*CUSTOS!$R$3</f>
        <v>0</v>
      </c>
      <c r="AA14" s="13">
        <f>TRANSICAO!$AA$14*CUSTOS!$R$3</f>
        <v>0</v>
      </c>
      <c r="AB14" s="13">
        <f>TRANSICAO!$AB$14*CUSTOS!$R$3</f>
        <v>0</v>
      </c>
      <c r="AC14" s="13">
        <f>TRANSICAO!$AC$14*CUSTOS!$R$3</f>
        <v>0</v>
      </c>
      <c r="AD14" s="13">
        <f>TRANSICAO!$AD$14*CUSTOS!$R$3</f>
        <v>0</v>
      </c>
      <c r="AE14" s="13">
        <v>0</v>
      </c>
      <c r="AF14" s="13">
        <v>0</v>
      </c>
      <c r="AG14" s="13"/>
      <c r="AH14" s="13">
        <v>9.5805000000000007</v>
      </c>
      <c r="AI14" s="13">
        <v>0</v>
      </c>
      <c r="AJ14" s="13">
        <f ca="1">$N$63</f>
        <v>0</v>
      </c>
      <c r="AK14" s="13">
        <f t="shared" ca="1" si="0"/>
        <v>0</v>
      </c>
      <c r="AL14" s="13"/>
      <c r="AM14" s="13"/>
      <c r="AP14" s="13">
        <v>1</v>
      </c>
    </row>
    <row r="15" spans="1:42" ht="11.25" customHeight="1" x14ac:dyDescent="0.3">
      <c r="A15" s="91" t="s">
        <v>77</v>
      </c>
      <c r="B15" s="91" t="s">
        <v>76</v>
      </c>
      <c r="C15" s="91" t="s">
        <v>25</v>
      </c>
      <c r="D15" s="91" t="s">
        <v>25</v>
      </c>
      <c r="E15" s="17" t="s">
        <v>78</v>
      </c>
      <c r="F15" s="17" t="s">
        <v>25</v>
      </c>
      <c r="G15" s="18" t="s">
        <v>9</v>
      </c>
      <c r="H15" s="18" t="s">
        <v>71</v>
      </c>
      <c r="I15" s="18">
        <f>'MERCADO TUSD'!$U$12+0.00000001</f>
        <v>1E-8</v>
      </c>
      <c r="J15" s="15"/>
      <c r="L15" s="13">
        <v>0</v>
      </c>
      <c r="M15" s="13">
        <v>1.0500000000000001E-2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/>
      <c r="U15" s="13">
        <f>TRANSICAO!$U$15*CUSTOS!$T$4</f>
        <v>0</v>
      </c>
      <c r="V15" s="13">
        <f>TRANSICAO!$V$15*CUSTOS!$T$4</f>
        <v>0</v>
      </c>
      <c r="W15" s="13">
        <f>TRANSICAO!$W$15*CUSTOS!$T$4</f>
        <v>0</v>
      </c>
      <c r="X15" s="13">
        <f>TRANSICAO!$X$15*CUSTOS!$T$4</f>
        <v>0</v>
      </c>
      <c r="Y15" s="13">
        <f>TRANSICAO!$Y$15*CUSTOS!$T$4</f>
        <v>0</v>
      </c>
      <c r="Z15" s="13">
        <f>TRANSICAO!$Z$15*CUSTOS!$T$4</f>
        <v>0</v>
      </c>
      <c r="AA15" s="13">
        <f>TRANSICAO!$AA$15*CUSTOS!$T$4</f>
        <v>0</v>
      </c>
      <c r="AB15" s="13">
        <f>TRANSICAO!$AB$15*CUSTOS!$T$4</f>
        <v>0</v>
      </c>
      <c r="AC15" s="13">
        <f>TRANSICAO!$AC$15*CUSTOS!$T$4</f>
        <v>6.2709000000000001</v>
      </c>
      <c r="AD15" s="13">
        <f>TRANSICAO!$AD$15*CUSTOS!$T$4</f>
        <v>0</v>
      </c>
      <c r="AE15" s="13">
        <v>0</v>
      </c>
      <c r="AF15" s="13">
        <v>0</v>
      </c>
      <c r="AG15" s="13"/>
      <c r="AH15" s="13">
        <v>0</v>
      </c>
      <c r="AI15" s="13">
        <v>0</v>
      </c>
      <c r="AJ15" s="13">
        <v>0</v>
      </c>
      <c r="AK15" s="13">
        <f t="shared" si="0"/>
        <v>0</v>
      </c>
      <c r="AL15" s="13"/>
      <c r="AM15" s="13"/>
      <c r="AP15" s="13"/>
    </row>
    <row r="16" spans="1:42" ht="11.25" customHeight="1" x14ac:dyDescent="0.3">
      <c r="A16" s="91"/>
      <c r="B16" s="91"/>
      <c r="C16" s="91"/>
      <c r="D16" s="91"/>
      <c r="E16" s="17" t="s">
        <v>79</v>
      </c>
      <c r="F16" s="17" t="s">
        <v>25</v>
      </c>
      <c r="G16" s="18" t="s">
        <v>9</v>
      </c>
      <c r="H16" s="18" t="s">
        <v>71</v>
      </c>
      <c r="I16" s="18">
        <f>'MERCADO TUSD'!$U$13+0.00000001</f>
        <v>1E-8</v>
      </c>
      <c r="J16" s="15"/>
      <c r="L16" s="13">
        <v>0</v>
      </c>
      <c r="M16" s="13">
        <v>1.0500000000000001E-2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/>
      <c r="U16" s="13">
        <f>TRANSICAO!$U$16*CUSTOS!$T$4</f>
        <v>0</v>
      </c>
      <c r="V16" s="13">
        <f>TRANSICAO!$V$16*CUSTOS!$T$4</f>
        <v>0</v>
      </c>
      <c r="W16" s="13">
        <f>TRANSICAO!$W$16*CUSTOS!$T$4</f>
        <v>0</v>
      </c>
      <c r="X16" s="13">
        <f>TRANSICAO!$X$16*CUSTOS!$T$4</f>
        <v>0</v>
      </c>
      <c r="Y16" s="13">
        <f>TRANSICAO!$Y$16*CUSTOS!$T$4</f>
        <v>0</v>
      </c>
      <c r="Z16" s="13">
        <f>TRANSICAO!$Z$16*CUSTOS!$T$4</f>
        <v>0</v>
      </c>
      <c r="AA16" s="13">
        <f>TRANSICAO!$AA$16*CUSTOS!$T$4</f>
        <v>0</v>
      </c>
      <c r="AB16" s="13">
        <f>TRANSICAO!$AB$16*CUSTOS!$T$4</f>
        <v>0</v>
      </c>
      <c r="AC16" s="13">
        <f>TRANSICAO!$AC$16*CUSTOS!$T$4</f>
        <v>12.7584</v>
      </c>
      <c r="AD16" s="13">
        <f>TRANSICAO!$AD$16*CUSTOS!$T$4</f>
        <v>0</v>
      </c>
      <c r="AE16" s="13">
        <v>0</v>
      </c>
      <c r="AF16" s="13">
        <v>0</v>
      </c>
      <c r="AG16" s="13"/>
      <c r="AH16" s="13">
        <v>0</v>
      </c>
      <c r="AI16" s="13">
        <v>0</v>
      </c>
      <c r="AJ16" s="13">
        <v>0</v>
      </c>
      <c r="AK16" s="13">
        <f t="shared" si="0"/>
        <v>0</v>
      </c>
      <c r="AL16" s="13"/>
      <c r="AM16" s="13"/>
      <c r="AP16" s="13"/>
    </row>
    <row r="17" spans="1:42" ht="11.25" customHeight="1" x14ac:dyDescent="0.3">
      <c r="A17" s="91" t="s">
        <v>22</v>
      </c>
      <c r="B17" s="91" t="s">
        <v>82</v>
      </c>
      <c r="C17" s="91" t="s">
        <v>24</v>
      </c>
      <c r="D17" s="91" t="s">
        <v>24</v>
      </c>
      <c r="E17" s="91" t="s">
        <v>25</v>
      </c>
      <c r="F17" s="91" t="s">
        <v>25</v>
      </c>
      <c r="G17" s="18" t="s">
        <v>69</v>
      </c>
      <c r="H17" s="18" t="s">
        <v>68</v>
      </c>
      <c r="I17" s="18">
        <f>'MERCADO TUSD'!$U$14</f>
        <v>0</v>
      </c>
      <c r="J17" s="15"/>
      <c r="L17" s="13">
        <f>1</f>
        <v>1</v>
      </c>
      <c r="M1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0.85755299946651231</v>
      </c>
      <c r="N17" s="13">
        <f ca="1">(+M17+O17+R17+U17+V17+W17+X17+Y17+Z17+AA17+AC17+AH17+AI17+AJ17+AK17)*CUSTOS!$M$5</f>
        <v>8.6137185299946653E-12</v>
      </c>
      <c r="O17" s="13">
        <v>1</v>
      </c>
      <c r="P17" s="13">
        <v>1</v>
      </c>
      <c r="Q17" s="13">
        <f>1</f>
        <v>1</v>
      </c>
      <c r="R17" s="13">
        <v>1</v>
      </c>
      <c r="S17" s="13">
        <v>1</v>
      </c>
      <c r="T17" s="13"/>
      <c r="U17" s="13">
        <f>TRANSICAO!$U$17*CUSTOS!$T$3</f>
        <v>0</v>
      </c>
      <c r="V17" s="13">
        <f>TRANSICAO!$V$17*CUSTOS!$T$3</f>
        <v>0</v>
      </c>
      <c r="W17" s="13">
        <f>TRANSICAO!$W$17*CUSTOS!$T$3</f>
        <v>0</v>
      </c>
      <c r="X17" s="13">
        <f>TRANSICAO!$X$17*CUSTOS!$T$3</f>
        <v>0</v>
      </c>
      <c r="Y17" s="13">
        <f>TRANSICAO!$Y$17*CUSTOS!$T$3</f>
        <v>268.49579999999997</v>
      </c>
      <c r="Z17" s="13">
        <f>TRANSICAO!$Z$17*CUSTOS!$T$3</f>
        <v>0</v>
      </c>
      <c r="AA17" s="13">
        <f>TRANSICAO!$AA$17*CUSTOS!$T$3</f>
        <v>0</v>
      </c>
      <c r="AB17" s="13">
        <f>TRANSICAO!$AB$17*CUSTOS!$T$3</f>
        <v>0</v>
      </c>
      <c r="AC17" s="13">
        <f>TRANSICAO!$AC$17*CUSTOS!$T$3</f>
        <v>540.39089999999999</v>
      </c>
      <c r="AD17" s="13">
        <f>TRANSICAO!$AD$17*CUSTOS!$T$3</f>
        <v>0</v>
      </c>
      <c r="AE17" s="13">
        <v>0</v>
      </c>
      <c r="AF17" s="13">
        <v>0</v>
      </c>
      <c r="AG17" s="13"/>
      <c r="AH17" s="13">
        <v>24.813800000000001</v>
      </c>
      <c r="AI17" s="13">
        <v>24.813800000000001</v>
      </c>
      <c r="AJ17" s="13">
        <f ca="1">$N$64</f>
        <v>0</v>
      </c>
      <c r="AK17" s="13">
        <f t="shared" ca="1" si="0"/>
        <v>0</v>
      </c>
      <c r="AL17" s="13"/>
      <c r="AM17" s="13"/>
      <c r="AP17" s="13">
        <v>1</v>
      </c>
    </row>
    <row r="18" spans="1:42" ht="11.25" customHeight="1" x14ac:dyDescent="0.3">
      <c r="A18" s="91"/>
      <c r="B18" s="91"/>
      <c r="C18" s="91"/>
      <c r="D18" s="91"/>
      <c r="E18" s="91"/>
      <c r="F18" s="91"/>
      <c r="G18" s="18" t="s">
        <v>80</v>
      </c>
      <c r="H18" s="18" t="s">
        <v>68</v>
      </c>
      <c r="I18" s="18">
        <f>'MERCADO TUSD'!$U$15</f>
        <v>0</v>
      </c>
      <c r="J18" s="15"/>
      <c r="L18" s="13">
        <f>1</f>
        <v>1</v>
      </c>
      <c r="M1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0.85755299946651231</v>
      </c>
      <c r="N18" s="13">
        <f ca="1">(+M18+O18+R18+U18+V18+W18+X18+Y18+Z18+AA18+AC18+AH18+AI18+AJ18+AK18)*CUSTOS!$M$5</f>
        <v>5.3781735299946651E-12</v>
      </c>
      <c r="O18" s="13">
        <v>1</v>
      </c>
      <c r="P18" s="13">
        <v>1</v>
      </c>
      <c r="Q18" s="13">
        <f>1</f>
        <v>1</v>
      </c>
      <c r="R18" s="13">
        <v>1</v>
      </c>
      <c r="S18" s="13">
        <v>1</v>
      </c>
      <c r="T18" s="13"/>
      <c r="U18" s="13">
        <f>TRANSICAO!$U$18*CUSTOS!$T$3</f>
        <v>0</v>
      </c>
      <c r="V18" s="13">
        <f>TRANSICAO!$V$18*CUSTOS!$T$3</f>
        <v>0</v>
      </c>
      <c r="W18" s="13">
        <f>TRANSICAO!$W$18*CUSTOS!$T$3</f>
        <v>0</v>
      </c>
      <c r="X18" s="13">
        <f>TRANSICAO!$X$18*CUSTOS!$T$3</f>
        <v>0</v>
      </c>
      <c r="Y18" s="13">
        <f>TRANSICAO!$Y$18*CUSTOS!$T$3</f>
        <v>161.0975</v>
      </c>
      <c r="Z18" s="13">
        <f>TRANSICAO!$Z$18*CUSTOS!$T$3</f>
        <v>0</v>
      </c>
      <c r="AA18" s="13">
        <f>TRANSICAO!$AA$18*CUSTOS!$T$3</f>
        <v>0</v>
      </c>
      <c r="AB18" s="13">
        <f>TRANSICAO!$AB$18*CUSTOS!$T$3</f>
        <v>0</v>
      </c>
      <c r="AC18" s="13">
        <f>TRANSICAO!$AC$18*CUSTOS!$T$3</f>
        <v>324.23469999999998</v>
      </c>
      <c r="AD18" s="13">
        <f>TRANSICAO!$AD$18*CUSTOS!$T$3</f>
        <v>0</v>
      </c>
      <c r="AE18" s="13">
        <v>0</v>
      </c>
      <c r="AF18" s="13">
        <v>0</v>
      </c>
      <c r="AG18" s="13"/>
      <c r="AH18" s="13">
        <v>24.813800000000001</v>
      </c>
      <c r="AI18" s="13">
        <v>24.813800000000001</v>
      </c>
      <c r="AJ18" s="13">
        <f ca="1">$N$64</f>
        <v>0</v>
      </c>
      <c r="AK18" s="13">
        <f t="shared" ca="1" si="0"/>
        <v>0</v>
      </c>
      <c r="AL18" s="13"/>
      <c r="AM18" s="13"/>
      <c r="AP18" s="13">
        <v>1</v>
      </c>
    </row>
    <row r="19" spans="1:42" ht="11.25" customHeight="1" x14ac:dyDescent="0.3">
      <c r="A19" s="91"/>
      <c r="B19" s="91"/>
      <c r="C19" s="91"/>
      <c r="D19" s="91"/>
      <c r="E19" s="91"/>
      <c r="F19" s="91"/>
      <c r="G19" s="18" t="s">
        <v>70</v>
      </c>
      <c r="H19" s="18" t="s">
        <v>68</v>
      </c>
      <c r="I19" s="18">
        <f>'MERCADO TUSD'!$U$16</f>
        <v>0</v>
      </c>
      <c r="J19" s="15"/>
      <c r="L19" s="13">
        <f>1</f>
        <v>1</v>
      </c>
      <c r="M1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0.85755299946651231</v>
      </c>
      <c r="N19" s="13">
        <f ca="1">(+M19+O19+R19+U19+V19+W19+X19+Y19+Z19+AA19+AC19+AH19+AI19+AJ19+AK19)*CUSTOS!$M$5</f>
        <v>2.1431145299946655E-12</v>
      </c>
      <c r="O19" s="13">
        <v>1</v>
      </c>
      <c r="P19" s="13">
        <v>1</v>
      </c>
      <c r="Q19" s="13">
        <f>1</f>
        <v>1</v>
      </c>
      <c r="R19" s="13">
        <v>1</v>
      </c>
      <c r="S19" s="13">
        <v>1</v>
      </c>
      <c r="T19" s="13"/>
      <c r="U19" s="13">
        <f>TRANSICAO!$U$19*CUSTOS!$T$3</f>
        <v>0</v>
      </c>
      <c r="V19" s="13">
        <f>TRANSICAO!$V$19*CUSTOS!$T$3</f>
        <v>0</v>
      </c>
      <c r="W19" s="13">
        <f>TRANSICAO!$W$19*CUSTOS!$T$3</f>
        <v>0</v>
      </c>
      <c r="X19" s="13">
        <f>TRANSICAO!$X$19*CUSTOS!$T$3</f>
        <v>0</v>
      </c>
      <c r="Y19" s="13">
        <f>TRANSICAO!$Y$19*CUSTOS!$T$3</f>
        <v>53.748199999999997</v>
      </c>
      <c r="Z19" s="13">
        <f>TRANSICAO!$Z$19*CUSTOS!$T$3</f>
        <v>0</v>
      </c>
      <c r="AA19" s="13">
        <f>TRANSICAO!$AA$19*CUSTOS!$T$3</f>
        <v>0</v>
      </c>
      <c r="AB19" s="13">
        <f>TRANSICAO!$AB$19*CUSTOS!$T$3</f>
        <v>0</v>
      </c>
      <c r="AC19" s="13">
        <f>TRANSICAO!$AC$19*CUSTOS!$T$3</f>
        <v>108.07810000000001</v>
      </c>
      <c r="AD19" s="13">
        <f>TRANSICAO!$AD$19*CUSTOS!$T$3</f>
        <v>0</v>
      </c>
      <c r="AE19" s="13">
        <v>0</v>
      </c>
      <c r="AF19" s="13">
        <v>0</v>
      </c>
      <c r="AG19" s="13"/>
      <c r="AH19" s="13">
        <v>24.813800000000001</v>
      </c>
      <c r="AI19" s="13">
        <v>24.813800000000001</v>
      </c>
      <c r="AJ19" s="13">
        <f ca="1">$N$64</f>
        <v>0</v>
      </c>
      <c r="AK19" s="13">
        <f t="shared" ca="1" si="0"/>
        <v>0</v>
      </c>
      <c r="AL19" s="13"/>
      <c r="AM19" s="13"/>
      <c r="AP19" s="13">
        <v>1</v>
      </c>
    </row>
    <row r="20" spans="1:42" ht="11.25" customHeight="1" x14ac:dyDescent="0.3">
      <c r="A20" s="91"/>
      <c r="B20" s="91" t="s">
        <v>23</v>
      </c>
      <c r="C20" s="91" t="s">
        <v>24</v>
      </c>
      <c r="D20" s="17" t="s">
        <v>24</v>
      </c>
      <c r="E20" s="17" t="s">
        <v>25</v>
      </c>
      <c r="F20" s="17" t="s">
        <v>25</v>
      </c>
      <c r="G20" s="18" t="s">
        <v>74</v>
      </c>
      <c r="H20" s="18" t="s">
        <v>68</v>
      </c>
      <c r="I20" s="18">
        <f>'MERCADO TUSD'!$U$17</f>
        <v>434.28799999999995</v>
      </c>
      <c r="J20" s="15"/>
      <c r="L20" s="13">
        <f>1</f>
        <v>1</v>
      </c>
      <c r="M2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0.85755299946651231</v>
      </c>
      <c r="N20" s="13">
        <f ca="1">(+M20+O20+R20+U20+V20+W20+X20+Y20+Z20+AA20+AC20+AH20+AI20+AJ20+AK20)*CUSTOS!$M$5</f>
        <v>3.5202745299946649E-12</v>
      </c>
      <c r="O20" s="13">
        <v>1</v>
      </c>
      <c r="P20" s="13">
        <v>1</v>
      </c>
      <c r="Q20" s="13">
        <f>1</f>
        <v>1</v>
      </c>
      <c r="R20" s="13">
        <v>1</v>
      </c>
      <c r="S20" s="13">
        <v>1</v>
      </c>
      <c r="T20" s="13"/>
      <c r="U20" s="13">
        <f>TRANSICAO!$U$20*CUSTOS!$T$3</f>
        <v>0</v>
      </c>
      <c r="V20" s="13">
        <f>TRANSICAO!$V$20*CUSTOS!$T$3</f>
        <v>0</v>
      </c>
      <c r="W20" s="13">
        <f>TRANSICAO!$W$20*CUSTOS!$T$3</f>
        <v>0</v>
      </c>
      <c r="X20" s="13">
        <f>TRANSICAO!$X$20*CUSTOS!$T$3</f>
        <v>0</v>
      </c>
      <c r="Y20" s="13">
        <f>TRANSICAO!$Y$20*CUSTOS!$T$3</f>
        <v>99.397499999999994</v>
      </c>
      <c r="Z20" s="13">
        <f>TRANSICAO!$Z$20*CUSTOS!$T$3</f>
        <v>0</v>
      </c>
      <c r="AA20" s="13">
        <f>TRANSICAO!$AA$20*CUSTOS!$T$3</f>
        <v>0</v>
      </c>
      <c r="AB20" s="13">
        <f>TRANSICAO!$AB$20*CUSTOS!$T$3</f>
        <v>0</v>
      </c>
      <c r="AC20" s="13">
        <f>TRANSICAO!$AC$20*CUSTOS!$T$3</f>
        <v>200.1448</v>
      </c>
      <c r="AD20" s="13">
        <f>TRANSICAO!$AD$20*CUSTOS!$T$3</f>
        <v>0</v>
      </c>
      <c r="AE20" s="13">
        <v>0</v>
      </c>
      <c r="AF20" s="13">
        <v>0</v>
      </c>
      <c r="AG20" s="13"/>
      <c r="AH20" s="13">
        <v>24.813800000000001</v>
      </c>
      <c r="AI20" s="13">
        <v>24.813800000000001</v>
      </c>
      <c r="AJ20" s="13">
        <f ca="1">$N$64</f>
        <v>0</v>
      </c>
      <c r="AK20" s="13">
        <f t="shared" ca="1" si="0"/>
        <v>0</v>
      </c>
      <c r="AL20" s="13"/>
      <c r="AM20" s="13"/>
      <c r="AP20" s="13">
        <v>1</v>
      </c>
    </row>
    <row r="21" spans="1:42" ht="11.25" customHeight="1" x14ac:dyDescent="0.3">
      <c r="A21" s="91"/>
      <c r="B21" s="91"/>
      <c r="C21" s="91"/>
      <c r="D21" s="17" t="s">
        <v>27</v>
      </c>
      <c r="E21" s="17" t="s">
        <v>25</v>
      </c>
      <c r="F21" s="17" t="s">
        <v>25</v>
      </c>
      <c r="G21" s="18" t="s">
        <v>74</v>
      </c>
      <c r="H21" s="18" t="s">
        <v>68</v>
      </c>
      <c r="I21" s="18">
        <f>'MERCADO TUSD'!$U$18</f>
        <v>2.37</v>
      </c>
      <c r="J21" s="15"/>
      <c r="L21" s="13">
        <v>0</v>
      </c>
      <c r="M2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0.85755299946651231</v>
      </c>
      <c r="N21" s="13">
        <f ca="1">(+M21+O21+R21+U21+V21+W21+X21+Y21+Z21+AA21+AC21+AH21+AI21+AJ21+AK21)*CUSTOS!$M$5</f>
        <v>3.5102745299946651E-12</v>
      </c>
      <c r="O21" s="13">
        <f>1 - CUSTOS!$M$24</f>
        <v>1</v>
      </c>
      <c r="P21" s="13">
        <v>0</v>
      </c>
      <c r="Q21" s="13">
        <v>0</v>
      </c>
      <c r="R21" s="13">
        <v>0</v>
      </c>
      <c r="S21" s="13">
        <f>1 - CUSTOS!$M$24</f>
        <v>1</v>
      </c>
      <c r="T21" s="13"/>
      <c r="U21" s="13">
        <f>TRANSICAO!$U$21*CUSTOS!$T$3</f>
        <v>0</v>
      </c>
      <c r="V21" s="13">
        <f>TRANSICAO!$V$21*CUSTOS!$T$3</f>
        <v>0</v>
      </c>
      <c r="W21" s="13">
        <f>TRANSICAO!$W$21*CUSTOS!$T$3</f>
        <v>0</v>
      </c>
      <c r="X21" s="13">
        <f>TRANSICAO!$X$21*CUSTOS!$T$3</f>
        <v>0</v>
      </c>
      <c r="Y21" s="13">
        <f>TRANSICAO!$Y$21*CUSTOS!$T$3</f>
        <v>99.397499999999994</v>
      </c>
      <c r="Z21" s="13">
        <f>TRANSICAO!$Z$21*CUSTOS!$T$3</f>
        <v>0</v>
      </c>
      <c r="AA21" s="13">
        <f>TRANSICAO!$AA$21*CUSTOS!$T$3</f>
        <v>0</v>
      </c>
      <c r="AB21" s="13">
        <f>TRANSICAO!$AB$21*CUSTOS!$T$3</f>
        <v>0</v>
      </c>
      <c r="AC21" s="13">
        <f>TRANSICAO!$AC$21*CUSTOS!$T$3</f>
        <v>200.1448</v>
      </c>
      <c r="AD21" s="13">
        <f>TRANSICAO!$AD$21*CUSTOS!$T$3</f>
        <v>0</v>
      </c>
      <c r="AE21" s="13">
        <v>0</v>
      </c>
      <c r="AF21" s="13">
        <v>0</v>
      </c>
      <c r="AG21" s="13"/>
      <c r="AH21" s="13">
        <f>(1 - CUSTOS!$M$24)*24.8138</f>
        <v>24.813800000000001</v>
      </c>
      <c r="AI21" s="13">
        <f>(1 - CUSTOS!$M$24)*24.8138</f>
        <v>24.813800000000001</v>
      </c>
      <c r="AJ21" s="13">
        <f ca="1">$N$64*(1-CUSTOS!$M$24)</f>
        <v>0</v>
      </c>
      <c r="AK21" s="13">
        <f t="shared" ca="1" si="0"/>
        <v>0</v>
      </c>
      <c r="AL21" s="13"/>
      <c r="AM21" s="13"/>
      <c r="AP21" s="13">
        <f>IF((1 - CUSTOS!$M$24)&lt;&gt;0,1/(1 - CUSTOS!$M$24),1)</f>
        <v>1</v>
      </c>
    </row>
    <row r="22" spans="1:42" ht="11.25" customHeight="1" x14ac:dyDescent="0.3">
      <c r="A22" s="91"/>
      <c r="B22" s="91"/>
      <c r="C22" s="91"/>
      <c r="D22" s="17" t="s">
        <v>28</v>
      </c>
      <c r="E22" s="17" t="s">
        <v>25</v>
      </c>
      <c r="F22" s="17" t="s">
        <v>25</v>
      </c>
      <c r="G22" s="18" t="s">
        <v>74</v>
      </c>
      <c r="H22" s="18" t="s">
        <v>68</v>
      </c>
      <c r="I22" s="18">
        <f>'MERCADO TUSD'!$U$19</f>
        <v>4.327</v>
      </c>
      <c r="J22" s="15"/>
      <c r="L22" s="13">
        <v>0</v>
      </c>
      <c r="M2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0.85755299946651231</v>
      </c>
      <c r="N22" s="13">
        <f ca="1">(+M22+O22+R22+U22+V22+W22+X22+Y22+Z22+AA22+AC22+AH22+AI22+AJ22+AK22)*CUSTOS!$M$5</f>
        <v>3.5102745299946651E-12</v>
      </c>
      <c r="O22" s="13">
        <f>1 - CUSTOS!$M$25</f>
        <v>1</v>
      </c>
      <c r="P22" s="13">
        <v>0</v>
      </c>
      <c r="Q22" s="13">
        <v>0</v>
      </c>
      <c r="R22" s="13">
        <v>0</v>
      </c>
      <c r="S22" s="13">
        <f>1 - CUSTOS!$M$25</f>
        <v>1</v>
      </c>
      <c r="T22" s="13"/>
      <c r="U22" s="13">
        <f>TRANSICAO!$U$22*CUSTOS!$T$3</f>
        <v>0</v>
      </c>
      <c r="V22" s="13">
        <f>TRANSICAO!$V$22*CUSTOS!$T$3</f>
        <v>0</v>
      </c>
      <c r="W22" s="13">
        <f>TRANSICAO!$W$22*CUSTOS!$T$3</f>
        <v>0</v>
      </c>
      <c r="X22" s="13">
        <f>TRANSICAO!$X$22*CUSTOS!$T$3</f>
        <v>0</v>
      </c>
      <c r="Y22" s="13">
        <f>TRANSICAO!$Y$22*CUSTOS!$T$3</f>
        <v>99.397499999999994</v>
      </c>
      <c r="Z22" s="13">
        <f>TRANSICAO!$Z$22*CUSTOS!$T$3</f>
        <v>0</v>
      </c>
      <c r="AA22" s="13">
        <f>TRANSICAO!$AA$22*CUSTOS!$T$3</f>
        <v>0</v>
      </c>
      <c r="AB22" s="13">
        <f>TRANSICAO!$AB$22*CUSTOS!$T$3</f>
        <v>0</v>
      </c>
      <c r="AC22" s="13">
        <f>TRANSICAO!$AC$22*CUSTOS!$T$3</f>
        <v>200.1448</v>
      </c>
      <c r="AD22" s="13">
        <f>TRANSICAO!$AD$22*CUSTOS!$T$3</f>
        <v>0</v>
      </c>
      <c r="AE22" s="13">
        <v>0</v>
      </c>
      <c r="AF22" s="13">
        <v>0</v>
      </c>
      <c r="AG22" s="13"/>
      <c r="AH22" s="13">
        <f>(1 - CUSTOS!$M$25)*24.8138</f>
        <v>24.813800000000001</v>
      </c>
      <c r="AI22" s="13">
        <f>(1 - CUSTOS!$M$25)*24.8138</f>
        <v>24.813800000000001</v>
      </c>
      <c r="AJ22" s="13">
        <f ca="1">$N$64*(1-CUSTOS!$M$25)</f>
        <v>0</v>
      </c>
      <c r="AK22" s="13">
        <f t="shared" ca="1" si="0"/>
        <v>0</v>
      </c>
      <c r="AL22" s="13"/>
      <c r="AM22" s="13"/>
      <c r="AP22" s="13">
        <f>IF((1 - CUSTOS!$M$25)&lt;&gt;0,1/(1 - CUSTOS!$M$25),1)</f>
        <v>1</v>
      </c>
    </row>
    <row r="23" spans="1:42" ht="11.25" customHeight="1" x14ac:dyDescent="0.3">
      <c r="A23" s="91"/>
      <c r="B23" s="91"/>
      <c r="C23" s="91"/>
      <c r="D23" s="17" t="s">
        <v>29</v>
      </c>
      <c r="E23" s="17" t="s">
        <v>25</v>
      </c>
      <c r="F23" s="17" t="s">
        <v>25</v>
      </c>
      <c r="G23" s="18" t="s">
        <v>74</v>
      </c>
      <c r="H23" s="18" t="s">
        <v>68</v>
      </c>
      <c r="I23" s="18">
        <f>'MERCADO TUSD'!$U$20</f>
        <v>5.7929999999999993</v>
      </c>
      <c r="J23" s="15"/>
      <c r="L23" s="13">
        <v>0</v>
      </c>
      <c r="M2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0.85755299946651231</v>
      </c>
      <c r="N23" s="13">
        <f ca="1">(+M23+O23+R23+U23+V23+W23+X23+Y23+Z23+AA23+AC23+AH23+AI23+AJ23+AK23)*CUSTOS!$M$5</f>
        <v>3.5102745299946651E-12</v>
      </c>
      <c r="O23" s="13">
        <f>1 - CUSTOS!$M$26</f>
        <v>1</v>
      </c>
      <c r="P23" s="13">
        <v>0</v>
      </c>
      <c r="Q23" s="13">
        <v>0</v>
      </c>
      <c r="R23" s="13">
        <v>0</v>
      </c>
      <c r="S23" s="13">
        <f>1 - CUSTOS!$M$26</f>
        <v>1</v>
      </c>
      <c r="T23" s="13"/>
      <c r="U23" s="13">
        <f>TRANSICAO!$U$23*CUSTOS!$T$3</f>
        <v>0</v>
      </c>
      <c r="V23" s="13">
        <f>TRANSICAO!$V$23*CUSTOS!$T$3</f>
        <v>0</v>
      </c>
      <c r="W23" s="13">
        <f>TRANSICAO!$W$23*CUSTOS!$T$3</f>
        <v>0</v>
      </c>
      <c r="X23" s="13">
        <f>TRANSICAO!$X$23*CUSTOS!$T$3</f>
        <v>0</v>
      </c>
      <c r="Y23" s="13">
        <f>TRANSICAO!$Y$23*CUSTOS!$T$3</f>
        <v>99.397499999999994</v>
      </c>
      <c r="Z23" s="13">
        <f>TRANSICAO!$Z$23*CUSTOS!$T$3</f>
        <v>0</v>
      </c>
      <c r="AA23" s="13">
        <f>TRANSICAO!$AA$23*CUSTOS!$T$3</f>
        <v>0</v>
      </c>
      <c r="AB23" s="13">
        <f>TRANSICAO!$AB$23*CUSTOS!$T$3</f>
        <v>0</v>
      </c>
      <c r="AC23" s="13">
        <f>TRANSICAO!$AC$23*CUSTOS!$T$3</f>
        <v>200.1448</v>
      </c>
      <c r="AD23" s="13">
        <f>TRANSICAO!$AD$23*CUSTOS!$T$3</f>
        <v>0</v>
      </c>
      <c r="AE23" s="13">
        <v>0</v>
      </c>
      <c r="AF23" s="13">
        <v>0</v>
      </c>
      <c r="AG23" s="13"/>
      <c r="AH23" s="13">
        <f>(1 - CUSTOS!$M$26)*24.8138</f>
        <v>24.813800000000001</v>
      </c>
      <c r="AI23" s="13">
        <f>(1 - CUSTOS!$M$26)*24.8138</f>
        <v>24.813800000000001</v>
      </c>
      <c r="AJ23" s="13">
        <f ca="1">$N$64*(1-CUSTOS!$M$26)</f>
        <v>0</v>
      </c>
      <c r="AK23" s="13">
        <f t="shared" ca="1" si="0"/>
        <v>0</v>
      </c>
      <c r="AL23" s="13"/>
      <c r="AM23" s="13"/>
      <c r="AP23" s="13">
        <f>IF((1 - CUSTOS!$M$26)&lt;&gt;0,1/(1 - CUSTOS!$M$26),1)</f>
        <v>1</v>
      </c>
    </row>
    <row r="24" spans="1:42" ht="11.25" customHeight="1" x14ac:dyDescent="0.3">
      <c r="A24" s="91"/>
      <c r="B24" s="91"/>
      <c r="C24" s="91"/>
      <c r="D24" s="17" t="s">
        <v>30</v>
      </c>
      <c r="E24" s="17" t="s">
        <v>25</v>
      </c>
      <c r="F24" s="17" t="s">
        <v>25</v>
      </c>
      <c r="G24" s="18" t="s">
        <v>74</v>
      </c>
      <c r="H24" s="18" t="s">
        <v>68</v>
      </c>
      <c r="I24" s="18">
        <f>'MERCADO TUSD'!$U$21</f>
        <v>2.0990000000000002</v>
      </c>
      <c r="J24" s="15"/>
      <c r="L24" s="13">
        <v>0</v>
      </c>
      <c r="M2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0.85755299946651231</v>
      </c>
      <c r="N24" s="13">
        <f ca="1">(+M24+O24+R24+U24+V24+W24+X24+Y24+Z24+AA24+AC24+AH24+AI24+AJ24+AK24)*CUSTOS!$M$5</f>
        <v>3.5102745299946651E-12</v>
      </c>
      <c r="O24" s="13">
        <f>1 - CUSTOS!$M$27</f>
        <v>1</v>
      </c>
      <c r="P24" s="13">
        <v>0</v>
      </c>
      <c r="Q24" s="13">
        <v>0</v>
      </c>
      <c r="R24" s="13">
        <v>0</v>
      </c>
      <c r="S24" s="13">
        <f>1 - CUSTOS!$M$27</f>
        <v>1</v>
      </c>
      <c r="T24" s="13"/>
      <c r="U24" s="13">
        <f>TRANSICAO!$U$24*CUSTOS!$T$3</f>
        <v>0</v>
      </c>
      <c r="V24" s="13">
        <f>TRANSICAO!$V$24*CUSTOS!$T$3</f>
        <v>0</v>
      </c>
      <c r="W24" s="13">
        <f>TRANSICAO!$W$24*CUSTOS!$T$3</f>
        <v>0</v>
      </c>
      <c r="X24" s="13">
        <f>TRANSICAO!$X$24*CUSTOS!$T$3</f>
        <v>0</v>
      </c>
      <c r="Y24" s="13">
        <f>TRANSICAO!$Y$24*CUSTOS!$T$3</f>
        <v>99.397499999999994</v>
      </c>
      <c r="Z24" s="13">
        <f>TRANSICAO!$Z$24*CUSTOS!$T$3</f>
        <v>0</v>
      </c>
      <c r="AA24" s="13">
        <f>TRANSICAO!$AA$24*CUSTOS!$T$3</f>
        <v>0</v>
      </c>
      <c r="AB24" s="13">
        <f>TRANSICAO!$AB$24*CUSTOS!$T$3</f>
        <v>0</v>
      </c>
      <c r="AC24" s="13">
        <f>TRANSICAO!$AC$24*CUSTOS!$T$3</f>
        <v>200.1448</v>
      </c>
      <c r="AD24" s="13">
        <f>TRANSICAO!$AD$24*CUSTOS!$T$3</f>
        <v>0</v>
      </c>
      <c r="AE24" s="13">
        <v>0</v>
      </c>
      <c r="AF24" s="13">
        <v>0</v>
      </c>
      <c r="AG24" s="13"/>
      <c r="AH24" s="13">
        <f>(1 - CUSTOS!$M$27)*24.8138</f>
        <v>24.813800000000001</v>
      </c>
      <c r="AI24" s="13">
        <f>(1 - CUSTOS!$M$27)*24.8138</f>
        <v>24.813800000000001</v>
      </c>
      <c r="AJ24" s="13">
        <f ca="1">$N$64*(1-CUSTOS!$M$27)</f>
        <v>0</v>
      </c>
      <c r="AK24" s="13">
        <f t="shared" ca="1" si="0"/>
        <v>0</v>
      </c>
      <c r="AL24" s="13"/>
      <c r="AM24" s="13"/>
      <c r="AP24" s="13">
        <f>IF((1 - CUSTOS!$M$27)&lt;&gt;0,1/(1 - CUSTOS!$M$27),1)</f>
        <v>1</v>
      </c>
    </row>
    <row r="25" spans="1:42" ht="11.25" customHeight="1" x14ac:dyDescent="0.3">
      <c r="A25" s="91"/>
      <c r="B25" s="91" t="s">
        <v>84</v>
      </c>
      <c r="C25" s="91" t="s">
        <v>24</v>
      </c>
      <c r="D25" s="17" t="s">
        <v>24</v>
      </c>
      <c r="E25" s="17" t="s">
        <v>25</v>
      </c>
      <c r="F25" s="17" t="s">
        <v>25</v>
      </c>
      <c r="G25" s="18" t="s">
        <v>74</v>
      </c>
      <c r="H25" s="18" t="s">
        <v>68</v>
      </c>
      <c r="I25" s="18">
        <f>'MERCADO TUSD'!$U$22</f>
        <v>0</v>
      </c>
      <c r="J25" s="15"/>
      <c r="L25" s="13">
        <f>1</f>
        <v>1</v>
      </c>
      <c r="M2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0.85755299946651231</v>
      </c>
      <c r="N25" s="13">
        <f ca="1">(+M25+O25+R25+U25+V25+W25+X25+Y25+Z25+AA25+AC25+AH25+AI25+AJ25+AK25)*CUSTOS!$M$5</f>
        <v>2.8575529994665123E-14</v>
      </c>
      <c r="O25" s="13">
        <v>1</v>
      </c>
      <c r="P25" s="13">
        <v>1</v>
      </c>
      <c r="Q25" s="13">
        <f>1</f>
        <v>1</v>
      </c>
      <c r="R25" s="13">
        <v>1</v>
      </c>
      <c r="S25" s="13">
        <v>1</v>
      </c>
      <c r="T25" s="13"/>
      <c r="U25" s="13">
        <f>TRANSICAO!$U$25*CUSTOS!$T$3</f>
        <v>0</v>
      </c>
      <c r="V25" s="13">
        <f>TRANSICAO!$V$25*CUSTOS!$T$3</f>
        <v>0</v>
      </c>
      <c r="W25" s="13">
        <f>TRANSICAO!$W$25*CUSTOS!$T$3</f>
        <v>0</v>
      </c>
      <c r="X25" s="13">
        <f>TRANSICAO!$X$25*CUSTOS!$T$3</f>
        <v>0</v>
      </c>
      <c r="Y25" s="13">
        <f>TRANSICAO!$Y$25*CUSTOS!$T$3</f>
        <v>0</v>
      </c>
      <c r="Z25" s="13">
        <f>TRANSICAO!$Z$25*CUSTOS!$T$3</f>
        <v>0</v>
      </c>
      <c r="AA25" s="13">
        <f>TRANSICAO!$AA$25*CUSTOS!$T$3</f>
        <v>0</v>
      </c>
      <c r="AB25" s="13">
        <f>TRANSICAO!$AB$25*CUSTOS!$T$3</f>
        <v>0</v>
      </c>
      <c r="AC25" s="13">
        <f>TRANSICAO!$AC$25*CUSTOS!$T$3</f>
        <v>0</v>
      </c>
      <c r="AD25" s="13">
        <f>TRANSICAO!$AD$25*CUSTOS!$T$3</f>
        <v>0</v>
      </c>
      <c r="AE25" s="13">
        <v>0</v>
      </c>
      <c r="AF25" s="13">
        <v>0</v>
      </c>
      <c r="AG25" s="13"/>
      <c r="AH25" s="13">
        <v>0</v>
      </c>
      <c r="AI25" s="13">
        <v>0</v>
      </c>
      <c r="AJ25" s="13">
        <f ca="1">$N$64</f>
        <v>0</v>
      </c>
      <c r="AK25" s="13">
        <f t="shared" ca="1" si="0"/>
        <v>0</v>
      </c>
      <c r="AL25" s="13"/>
      <c r="AM25" s="13"/>
      <c r="AP25" s="13">
        <v>1</v>
      </c>
    </row>
    <row r="26" spans="1:42" ht="11.25" customHeight="1" x14ac:dyDescent="0.3">
      <c r="A26" s="91"/>
      <c r="B26" s="91"/>
      <c r="C26" s="91"/>
      <c r="D26" s="17" t="s">
        <v>27</v>
      </c>
      <c r="E26" s="17" t="s">
        <v>25</v>
      </c>
      <c r="F26" s="17" t="s">
        <v>25</v>
      </c>
      <c r="G26" s="18" t="s">
        <v>74</v>
      </c>
      <c r="H26" s="18" t="s">
        <v>68</v>
      </c>
      <c r="I26" s="18">
        <f>'MERCADO TUSD'!$U$23</f>
        <v>0</v>
      </c>
      <c r="J26" s="15"/>
      <c r="L26" s="13">
        <v>0</v>
      </c>
      <c r="M2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0.85755299946651231</v>
      </c>
      <c r="N26" s="13">
        <f ca="1">(+M26+O26+R26+U26+V26+W26+X26+Y26+Z26+AA26+AC26+AH26+AI26+AJ26+AK26)*CUSTOS!$M$5</f>
        <v>1.8575529994665125E-14</v>
      </c>
      <c r="O26" s="13">
        <f>1 - CUSTOS!$M$24</f>
        <v>1</v>
      </c>
      <c r="P26" s="13">
        <v>0</v>
      </c>
      <c r="Q26" s="13">
        <v>0</v>
      </c>
      <c r="R26" s="13">
        <v>0</v>
      </c>
      <c r="S26" s="13">
        <f>1 - CUSTOS!$M$24</f>
        <v>1</v>
      </c>
      <c r="T26" s="13"/>
      <c r="U26" s="13">
        <f>TRANSICAO!$U$26*CUSTOS!$T$3</f>
        <v>0</v>
      </c>
      <c r="V26" s="13">
        <f>TRANSICAO!$V$26*CUSTOS!$T$3</f>
        <v>0</v>
      </c>
      <c r="W26" s="13">
        <f>TRANSICAO!$W$26*CUSTOS!$T$3</f>
        <v>0</v>
      </c>
      <c r="X26" s="13">
        <f>TRANSICAO!$X$26*CUSTOS!$T$3</f>
        <v>0</v>
      </c>
      <c r="Y26" s="13">
        <f>TRANSICAO!$Y$26*CUSTOS!$T$3</f>
        <v>0</v>
      </c>
      <c r="Z26" s="13">
        <f>TRANSICAO!$Z$26*CUSTOS!$T$3</f>
        <v>0</v>
      </c>
      <c r="AA26" s="13">
        <f>TRANSICAO!$AA$26*CUSTOS!$T$3</f>
        <v>0</v>
      </c>
      <c r="AB26" s="13">
        <f>TRANSICAO!$AB$26*CUSTOS!$T$3</f>
        <v>0</v>
      </c>
      <c r="AC26" s="13">
        <f>TRANSICAO!$AC$26*CUSTOS!$T$3</f>
        <v>0</v>
      </c>
      <c r="AD26" s="13">
        <f>TRANSICAO!$AD$26*CUSTOS!$T$3</f>
        <v>0</v>
      </c>
      <c r="AE26" s="13">
        <v>0</v>
      </c>
      <c r="AF26" s="13">
        <v>0</v>
      </c>
      <c r="AG26" s="13"/>
      <c r="AH26" s="13">
        <v>0</v>
      </c>
      <c r="AI26" s="13">
        <v>0</v>
      </c>
      <c r="AJ26" s="13">
        <f ca="1">$N$64*(1-CUSTOS!$M$24)</f>
        <v>0</v>
      </c>
      <c r="AK26" s="13">
        <f t="shared" ca="1" si="0"/>
        <v>0</v>
      </c>
      <c r="AL26" s="13"/>
      <c r="AM26" s="13"/>
      <c r="AP26" s="13">
        <f>IF((1 - CUSTOS!$M$24)&lt;&gt;0,1/(1 - CUSTOS!$M$24),1)</f>
        <v>1</v>
      </c>
    </row>
    <row r="27" spans="1:42" ht="11.25" customHeight="1" x14ac:dyDescent="0.3">
      <c r="A27" s="91"/>
      <c r="B27" s="91"/>
      <c r="C27" s="91"/>
      <c r="D27" s="17" t="s">
        <v>28</v>
      </c>
      <c r="E27" s="17" t="s">
        <v>25</v>
      </c>
      <c r="F27" s="17" t="s">
        <v>25</v>
      </c>
      <c r="G27" s="18" t="s">
        <v>74</v>
      </c>
      <c r="H27" s="18" t="s">
        <v>68</v>
      </c>
      <c r="I27" s="18">
        <f>'MERCADO TUSD'!$U$24</f>
        <v>0</v>
      </c>
      <c r="J27" s="15"/>
      <c r="L27" s="13">
        <v>0</v>
      </c>
      <c r="M2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0.85755299946651231</v>
      </c>
      <c r="N27" s="13">
        <f ca="1">(+M27+O27+R27+U27+V27+W27+X27+Y27+Z27+AA27+AC27+AH27+AI27+AJ27+AK27)*CUSTOS!$M$5</f>
        <v>1.8575529994665125E-14</v>
      </c>
      <c r="O27" s="13">
        <f>1 - CUSTOS!$M$25</f>
        <v>1</v>
      </c>
      <c r="P27" s="13">
        <v>0</v>
      </c>
      <c r="Q27" s="13">
        <v>0</v>
      </c>
      <c r="R27" s="13">
        <v>0</v>
      </c>
      <c r="S27" s="13">
        <f>1 - CUSTOS!$M$25</f>
        <v>1</v>
      </c>
      <c r="T27" s="13"/>
      <c r="U27" s="13">
        <f>TRANSICAO!$U$27*CUSTOS!$T$3</f>
        <v>0</v>
      </c>
      <c r="V27" s="13">
        <f>TRANSICAO!$V$27*CUSTOS!$T$3</f>
        <v>0</v>
      </c>
      <c r="W27" s="13">
        <f>TRANSICAO!$W$27*CUSTOS!$T$3</f>
        <v>0</v>
      </c>
      <c r="X27" s="13">
        <f>TRANSICAO!$X$27*CUSTOS!$T$3</f>
        <v>0</v>
      </c>
      <c r="Y27" s="13">
        <f>TRANSICAO!$Y$27*CUSTOS!$T$3</f>
        <v>0</v>
      </c>
      <c r="Z27" s="13">
        <f>TRANSICAO!$Z$27*CUSTOS!$T$3</f>
        <v>0</v>
      </c>
      <c r="AA27" s="13">
        <f>TRANSICAO!$AA$27*CUSTOS!$T$3</f>
        <v>0</v>
      </c>
      <c r="AB27" s="13">
        <f>TRANSICAO!$AB$27*CUSTOS!$T$3</f>
        <v>0</v>
      </c>
      <c r="AC27" s="13">
        <f>TRANSICAO!$AC$27*CUSTOS!$T$3</f>
        <v>0</v>
      </c>
      <c r="AD27" s="13">
        <f>TRANSICAO!$AD$27*CUSTOS!$T$3</f>
        <v>0</v>
      </c>
      <c r="AE27" s="13">
        <v>0</v>
      </c>
      <c r="AF27" s="13">
        <v>0</v>
      </c>
      <c r="AG27" s="13"/>
      <c r="AH27" s="13">
        <v>0</v>
      </c>
      <c r="AI27" s="13">
        <v>0</v>
      </c>
      <c r="AJ27" s="13">
        <f ca="1">$N$64*(1-CUSTOS!$M$25)</f>
        <v>0</v>
      </c>
      <c r="AK27" s="13">
        <f t="shared" ca="1" si="0"/>
        <v>0</v>
      </c>
      <c r="AL27" s="13"/>
      <c r="AM27" s="13"/>
      <c r="AP27" s="13">
        <f>IF((1 - CUSTOS!$M$25)&lt;&gt;0,1/(1 - CUSTOS!$M$25),1)</f>
        <v>1</v>
      </c>
    </row>
    <row r="28" spans="1:42" ht="11.25" customHeight="1" x14ac:dyDescent="0.3">
      <c r="A28" s="91"/>
      <c r="B28" s="91"/>
      <c r="C28" s="91"/>
      <c r="D28" s="17" t="s">
        <v>29</v>
      </c>
      <c r="E28" s="17" t="s">
        <v>25</v>
      </c>
      <c r="F28" s="17" t="s">
        <v>25</v>
      </c>
      <c r="G28" s="18" t="s">
        <v>74</v>
      </c>
      <c r="H28" s="18" t="s">
        <v>68</v>
      </c>
      <c r="I28" s="18">
        <f>'MERCADO TUSD'!$U$25</f>
        <v>0</v>
      </c>
      <c r="J28" s="15"/>
      <c r="L28" s="13">
        <v>0</v>
      </c>
      <c r="M2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0.85755299946651231</v>
      </c>
      <c r="N28" s="13">
        <f ca="1">(+M28+O28+R28+U28+V28+W28+X28+Y28+Z28+AA28+AC28+AH28+AI28+AJ28+AK28)*CUSTOS!$M$5</f>
        <v>1.8575529994665125E-14</v>
      </c>
      <c r="O28" s="13">
        <f>1 - CUSTOS!$M$26</f>
        <v>1</v>
      </c>
      <c r="P28" s="13">
        <v>0</v>
      </c>
      <c r="Q28" s="13">
        <v>0</v>
      </c>
      <c r="R28" s="13">
        <v>0</v>
      </c>
      <c r="S28" s="13">
        <f>1 - CUSTOS!$M$26</f>
        <v>1</v>
      </c>
      <c r="T28" s="13"/>
      <c r="U28" s="13">
        <f>TRANSICAO!$U$28*CUSTOS!$T$3</f>
        <v>0</v>
      </c>
      <c r="V28" s="13">
        <f>TRANSICAO!$V$28*CUSTOS!$T$3</f>
        <v>0</v>
      </c>
      <c r="W28" s="13">
        <f>TRANSICAO!$W$28*CUSTOS!$T$3</f>
        <v>0</v>
      </c>
      <c r="X28" s="13">
        <f>TRANSICAO!$X$28*CUSTOS!$T$3</f>
        <v>0</v>
      </c>
      <c r="Y28" s="13">
        <f>TRANSICAO!$Y$28*CUSTOS!$T$3</f>
        <v>0</v>
      </c>
      <c r="Z28" s="13">
        <f>TRANSICAO!$Z$28*CUSTOS!$T$3</f>
        <v>0</v>
      </c>
      <c r="AA28" s="13">
        <f>TRANSICAO!$AA$28*CUSTOS!$T$3</f>
        <v>0</v>
      </c>
      <c r="AB28" s="13">
        <f>TRANSICAO!$AB$28*CUSTOS!$T$3</f>
        <v>0</v>
      </c>
      <c r="AC28" s="13">
        <f>TRANSICAO!$AC$28*CUSTOS!$T$3</f>
        <v>0</v>
      </c>
      <c r="AD28" s="13">
        <f>TRANSICAO!$AD$28*CUSTOS!$T$3</f>
        <v>0</v>
      </c>
      <c r="AE28" s="13">
        <v>0</v>
      </c>
      <c r="AF28" s="13">
        <v>0</v>
      </c>
      <c r="AG28" s="13"/>
      <c r="AH28" s="13">
        <v>0</v>
      </c>
      <c r="AI28" s="13">
        <v>0</v>
      </c>
      <c r="AJ28" s="13">
        <f ca="1">$N$64*(1-CUSTOS!$M$26)</f>
        <v>0</v>
      </c>
      <c r="AK28" s="13">
        <f t="shared" ca="1" si="0"/>
        <v>0</v>
      </c>
      <c r="AL28" s="13"/>
      <c r="AM28" s="13"/>
      <c r="AP28" s="13">
        <f>IF((1 - CUSTOS!$M$26)&lt;&gt;0,1/(1 - CUSTOS!$M$26),1)</f>
        <v>1</v>
      </c>
    </row>
    <row r="29" spans="1:42" ht="11.25" customHeight="1" x14ac:dyDescent="0.3">
      <c r="A29" s="91"/>
      <c r="B29" s="91"/>
      <c r="C29" s="91"/>
      <c r="D29" s="17" t="s">
        <v>30</v>
      </c>
      <c r="E29" s="17" t="s">
        <v>25</v>
      </c>
      <c r="F29" s="17" t="s">
        <v>25</v>
      </c>
      <c r="G29" s="18" t="s">
        <v>74</v>
      </c>
      <c r="H29" s="18" t="s">
        <v>68</v>
      </c>
      <c r="I29" s="18">
        <f>'MERCADO TUSD'!$U$26</f>
        <v>0</v>
      </c>
      <c r="J29" s="15"/>
      <c r="L29" s="13">
        <v>0</v>
      </c>
      <c r="M2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0.85755299946651231</v>
      </c>
      <c r="N29" s="13">
        <f ca="1">(+M29+O29+R29+U29+V29+W29+X29+Y29+Z29+AA29+AC29+AH29+AI29+AJ29+AK29)*CUSTOS!$M$5</f>
        <v>1.8575529994665125E-14</v>
      </c>
      <c r="O29" s="13">
        <f>1 - CUSTOS!$M$27</f>
        <v>1</v>
      </c>
      <c r="P29" s="13">
        <v>0</v>
      </c>
      <c r="Q29" s="13">
        <v>0</v>
      </c>
      <c r="R29" s="13">
        <v>0</v>
      </c>
      <c r="S29" s="13">
        <f>1 - CUSTOS!$M$27</f>
        <v>1</v>
      </c>
      <c r="T29" s="13"/>
      <c r="U29" s="13">
        <f>TRANSICAO!$U$29*CUSTOS!$T$3</f>
        <v>0</v>
      </c>
      <c r="V29" s="13">
        <f>TRANSICAO!$V$29*CUSTOS!$T$3</f>
        <v>0</v>
      </c>
      <c r="W29" s="13">
        <f>TRANSICAO!$W$29*CUSTOS!$T$3</f>
        <v>0</v>
      </c>
      <c r="X29" s="13">
        <f>TRANSICAO!$X$29*CUSTOS!$T$3</f>
        <v>0</v>
      </c>
      <c r="Y29" s="13">
        <f>TRANSICAO!$Y$29*CUSTOS!$T$3</f>
        <v>0</v>
      </c>
      <c r="Z29" s="13">
        <f>TRANSICAO!$Z$29*CUSTOS!$T$3</f>
        <v>0</v>
      </c>
      <c r="AA29" s="13">
        <f>TRANSICAO!$AA$29*CUSTOS!$T$3</f>
        <v>0</v>
      </c>
      <c r="AB29" s="13">
        <f>TRANSICAO!$AB$29*CUSTOS!$T$3</f>
        <v>0</v>
      </c>
      <c r="AC29" s="13">
        <f>TRANSICAO!$AC$29*CUSTOS!$T$3</f>
        <v>0</v>
      </c>
      <c r="AD29" s="13">
        <f>TRANSICAO!$AD$29*CUSTOS!$T$3</f>
        <v>0</v>
      </c>
      <c r="AE29" s="13">
        <v>0</v>
      </c>
      <c r="AF29" s="13">
        <v>0</v>
      </c>
      <c r="AG29" s="13"/>
      <c r="AH29" s="13">
        <v>0</v>
      </c>
      <c r="AI29" s="13">
        <v>0</v>
      </c>
      <c r="AJ29" s="13">
        <f ca="1">$N$64*(1-CUSTOS!$M$27)</f>
        <v>0</v>
      </c>
      <c r="AK29" s="13">
        <f t="shared" ca="1" si="0"/>
        <v>0</v>
      </c>
      <c r="AL29" s="13"/>
      <c r="AM29" s="13"/>
      <c r="AP29" s="13">
        <f>IF((1 - CUSTOS!$M$27)&lt;&gt;0,1/(1 - CUSTOS!$M$27),1)</f>
        <v>1</v>
      </c>
    </row>
    <row r="30" spans="1:42" ht="11.25" customHeight="1" x14ac:dyDescent="0.3">
      <c r="A30" s="91" t="s">
        <v>39</v>
      </c>
      <c r="B30" s="91" t="s">
        <v>82</v>
      </c>
      <c r="C30" s="91" t="s">
        <v>40</v>
      </c>
      <c r="D30" s="91" t="s">
        <v>25</v>
      </c>
      <c r="E30" s="91" t="s">
        <v>25</v>
      </c>
      <c r="F30" s="91" t="s">
        <v>25</v>
      </c>
      <c r="G30" s="18" t="s">
        <v>69</v>
      </c>
      <c r="H30" s="18" t="s">
        <v>68</v>
      </c>
      <c r="I30" s="18">
        <f>'MERCADO TUSD'!$U$27</f>
        <v>0</v>
      </c>
      <c r="J30" s="15"/>
      <c r="L30" s="13">
        <f>1*(1 - CUSTOS!$M$28)</f>
        <v>1</v>
      </c>
      <c r="M3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0.85755299946651231</v>
      </c>
      <c r="N30" s="13">
        <f ca="1">(+M30+O30+R30+U30+V30+W30+X30+Y30+Z30+AA30+AC30+AH30+AI30+AJ30+AK30)*CUSTOS!$M$5</f>
        <v>9.3614705299946656E-12</v>
      </c>
      <c r="O30" s="13">
        <f>1 - CUSTOS!$M$28</f>
        <v>1</v>
      </c>
      <c r="P30" s="13">
        <f>1 - CUSTOS!$M$28</f>
        <v>1</v>
      </c>
      <c r="Q30" s="13">
        <f>1*(1 - CUSTOS!$M$28)</f>
        <v>1</v>
      </c>
      <c r="R30" s="13">
        <f>1 - CUSTOS!$M$28</f>
        <v>1</v>
      </c>
      <c r="S30" s="13">
        <f>1 - CUSTOS!$M$28</f>
        <v>1</v>
      </c>
      <c r="T30" s="13"/>
      <c r="U30" s="13">
        <f>TRANSICAO!$U$30*CUSTOS!$T$3</f>
        <v>0</v>
      </c>
      <c r="V30" s="13">
        <f>TRANSICAO!$V$30*CUSTOS!$T$3</f>
        <v>0</v>
      </c>
      <c r="W30" s="13">
        <f>TRANSICAO!$W$30*CUSTOS!$T$3</f>
        <v>0</v>
      </c>
      <c r="X30" s="13">
        <f>TRANSICAO!$X$30*CUSTOS!$T$3</f>
        <v>0</v>
      </c>
      <c r="Y30" s="13">
        <f>TRANSICAO!$Y$30*CUSTOS!$T$3</f>
        <v>293.23469999999998</v>
      </c>
      <c r="Z30" s="13">
        <f>TRANSICAO!$Z$30*CUSTOS!$T$3</f>
        <v>0</v>
      </c>
      <c r="AA30" s="13">
        <f>TRANSICAO!$AA$30*CUSTOS!$T$3</f>
        <v>0</v>
      </c>
      <c r="AB30" s="13">
        <f>TRANSICAO!$AB$30*CUSTOS!$T$3</f>
        <v>0</v>
      </c>
      <c r="AC30" s="13">
        <f>TRANSICAO!$AC$30*CUSTOS!$T$3</f>
        <v>590.42719999999997</v>
      </c>
      <c r="AD30" s="13">
        <f>TRANSICAO!$AD$30*CUSTOS!$T$3</f>
        <v>0</v>
      </c>
      <c r="AE30" s="13">
        <v>0</v>
      </c>
      <c r="AF30" s="13">
        <v>0</v>
      </c>
      <c r="AG30" s="13"/>
      <c r="AH30" s="13">
        <f>(1 - CUSTOS!$M$28)*24.8138</f>
        <v>24.813800000000001</v>
      </c>
      <c r="AI30" s="13">
        <f>(1 - CUSTOS!$M$28)*24.8138</f>
        <v>24.813800000000001</v>
      </c>
      <c r="AJ30" s="13">
        <f ca="1">$N$64*(1-CUSTOS!$M$28)</f>
        <v>0</v>
      </c>
      <c r="AK30" s="13">
        <f t="shared" ca="1" si="0"/>
        <v>0</v>
      </c>
      <c r="AL30" s="13"/>
      <c r="AM30" s="13"/>
      <c r="AP30" s="13">
        <f>IF((1 - CUSTOS!$M$28)&lt;&gt;0,1/(1 - CUSTOS!$M$28),1)</f>
        <v>1</v>
      </c>
    </row>
    <row r="31" spans="1:42" ht="11.25" customHeight="1" x14ac:dyDescent="0.3">
      <c r="A31" s="91"/>
      <c r="B31" s="91"/>
      <c r="C31" s="91"/>
      <c r="D31" s="91"/>
      <c r="E31" s="91"/>
      <c r="F31" s="91"/>
      <c r="G31" s="18" t="s">
        <v>80</v>
      </c>
      <c r="H31" s="18" t="s">
        <v>68</v>
      </c>
      <c r="I31" s="18">
        <f>'MERCADO TUSD'!$U$28</f>
        <v>0</v>
      </c>
      <c r="J31" s="15"/>
      <c r="L31" s="13">
        <f>1*(1 - CUSTOS!$M$28)</f>
        <v>1</v>
      </c>
      <c r="M3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0.85755299946651231</v>
      </c>
      <c r="N31" s="13">
        <f ca="1">(+M31+O31+R31+U31+V31+W31+X31+Y31+Z31+AA31+AC31+AH31+AI31+AJ31+AK31)*CUSTOS!$M$5</f>
        <v>5.8266255299946648E-12</v>
      </c>
      <c r="O31" s="13">
        <f>1 - CUSTOS!$M$28</f>
        <v>1</v>
      </c>
      <c r="P31" s="13">
        <f>1 - CUSTOS!$M$28</f>
        <v>1</v>
      </c>
      <c r="Q31" s="13">
        <f>1*(1 - CUSTOS!$M$28)</f>
        <v>1</v>
      </c>
      <c r="R31" s="13">
        <f>1 - CUSTOS!$M$28</f>
        <v>1</v>
      </c>
      <c r="S31" s="13">
        <f>1 - CUSTOS!$M$28</f>
        <v>1</v>
      </c>
      <c r="T31" s="13"/>
      <c r="U31" s="13">
        <f>TRANSICAO!$U$31*CUSTOS!$T$3</f>
        <v>0</v>
      </c>
      <c r="V31" s="13">
        <f>TRANSICAO!$V$31*CUSTOS!$T$3</f>
        <v>0</v>
      </c>
      <c r="W31" s="13">
        <f>TRANSICAO!$W$31*CUSTOS!$T$3</f>
        <v>0</v>
      </c>
      <c r="X31" s="13">
        <f>TRANSICAO!$X$31*CUSTOS!$T$3</f>
        <v>0</v>
      </c>
      <c r="Y31" s="13">
        <f>TRANSICAO!$Y$31*CUSTOS!$T$3</f>
        <v>175.9212</v>
      </c>
      <c r="Z31" s="13">
        <f>TRANSICAO!$Z$31*CUSTOS!$T$3</f>
        <v>0</v>
      </c>
      <c r="AA31" s="13">
        <f>TRANSICAO!$AA$31*CUSTOS!$T$3</f>
        <v>0</v>
      </c>
      <c r="AB31" s="13">
        <f>TRANSICAO!$AB$31*CUSTOS!$T$3</f>
        <v>0</v>
      </c>
      <c r="AC31" s="13">
        <f>TRANSICAO!$AC$31*CUSTOS!$T$3</f>
        <v>354.25619999999998</v>
      </c>
      <c r="AD31" s="13">
        <f>TRANSICAO!$AD$31*CUSTOS!$T$3</f>
        <v>0</v>
      </c>
      <c r="AE31" s="13">
        <v>0</v>
      </c>
      <c r="AF31" s="13">
        <v>0</v>
      </c>
      <c r="AG31" s="13"/>
      <c r="AH31" s="13">
        <f>(1 - CUSTOS!$M$28)*24.8138</f>
        <v>24.813800000000001</v>
      </c>
      <c r="AI31" s="13">
        <f>(1 - CUSTOS!$M$28)*24.8138</f>
        <v>24.813800000000001</v>
      </c>
      <c r="AJ31" s="13">
        <f ca="1">$N$64*(1-CUSTOS!$M$28)</f>
        <v>0</v>
      </c>
      <c r="AK31" s="13">
        <f t="shared" ca="1" si="0"/>
        <v>0</v>
      </c>
      <c r="AL31" s="13"/>
      <c r="AM31" s="13"/>
      <c r="AP31" s="13">
        <f>IF((1 - CUSTOS!$M$28)&lt;&gt;0,1/(1 - CUSTOS!$M$28),1)</f>
        <v>1</v>
      </c>
    </row>
    <row r="32" spans="1:42" ht="11.25" customHeight="1" x14ac:dyDescent="0.3">
      <c r="A32" s="91"/>
      <c r="B32" s="91"/>
      <c r="C32" s="91"/>
      <c r="D32" s="91"/>
      <c r="E32" s="91"/>
      <c r="F32" s="91"/>
      <c r="G32" s="18" t="s">
        <v>70</v>
      </c>
      <c r="H32" s="18" t="s">
        <v>68</v>
      </c>
      <c r="I32" s="18">
        <f>'MERCADO TUSD'!$U$29</f>
        <v>0</v>
      </c>
      <c r="J32" s="15"/>
      <c r="L32" s="13">
        <f>1*(1 - CUSTOS!$M$28)</f>
        <v>1</v>
      </c>
      <c r="M3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0.85755299946651231</v>
      </c>
      <c r="N32" s="13">
        <f ca="1">(+M32+O32+R32+U32+V32+W32+X32+Y32+Z32+AA32+AC32+AH32+AI32+AJ32+AK32)*CUSTOS!$M$5</f>
        <v>2.2917825299946656E-12</v>
      </c>
      <c r="O32" s="13">
        <f>1 - CUSTOS!$M$28</f>
        <v>1</v>
      </c>
      <c r="P32" s="13">
        <f>1 - CUSTOS!$M$28</f>
        <v>1</v>
      </c>
      <c r="Q32" s="13">
        <f>1*(1 - CUSTOS!$M$28)</f>
        <v>1</v>
      </c>
      <c r="R32" s="13">
        <f>1 - CUSTOS!$M$28</f>
        <v>1</v>
      </c>
      <c r="S32" s="13">
        <f>1 - CUSTOS!$M$28</f>
        <v>1</v>
      </c>
      <c r="T32" s="13"/>
      <c r="U32" s="13">
        <f>TRANSICAO!$U$32*CUSTOS!$T$3</f>
        <v>0</v>
      </c>
      <c r="V32" s="13">
        <f>TRANSICAO!$V$32*CUSTOS!$T$3</f>
        <v>0</v>
      </c>
      <c r="W32" s="13">
        <f>TRANSICAO!$W$32*CUSTOS!$T$3</f>
        <v>0</v>
      </c>
      <c r="X32" s="13">
        <f>TRANSICAO!$X$32*CUSTOS!$T$3</f>
        <v>0</v>
      </c>
      <c r="Y32" s="13">
        <f>TRANSICAO!$Y$32*CUSTOS!$T$3</f>
        <v>58.607700000000001</v>
      </c>
      <c r="Z32" s="13">
        <f>TRANSICAO!$Z$32*CUSTOS!$T$3</f>
        <v>0</v>
      </c>
      <c r="AA32" s="13">
        <f>TRANSICAO!$AA$32*CUSTOS!$T$3</f>
        <v>0</v>
      </c>
      <c r="AB32" s="13">
        <f>TRANSICAO!$AB$32*CUSTOS!$T$3</f>
        <v>0</v>
      </c>
      <c r="AC32" s="13">
        <f>TRANSICAO!$AC$32*CUSTOS!$T$3</f>
        <v>118.08540000000001</v>
      </c>
      <c r="AD32" s="13">
        <f>TRANSICAO!$AD$32*CUSTOS!$T$3</f>
        <v>0</v>
      </c>
      <c r="AE32" s="13">
        <v>0</v>
      </c>
      <c r="AF32" s="13">
        <v>0</v>
      </c>
      <c r="AG32" s="13"/>
      <c r="AH32" s="13">
        <f>(1 - CUSTOS!$M$28)*24.8138</f>
        <v>24.813800000000001</v>
      </c>
      <c r="AI32" s="13">
        <f>(1 - CUSTOS!$M$28)*24.8138</f>
        <v>24.813800000000001</v>
      </c>
      <c r="AJ32" s="13">
        <f ca="1">$N$64*(1-CUSTOS!$M$28)</f>
        <v>0</v>
      </c>
      <c r="AK32" s="13">
        <f t="shared" ca="1" si="0"/>
        <v>0</v>
      </c>
      <c r="AL32" s="13"/>
      <c r="AM32" s="13"/>
      <c r="AP32" s="13">
        <f>IF((1 - CUSTOS!$M$28)&lt;&gt;0,1/(1 - CUSTOS!$M$28),1)</f>
        <v>1</v>
      </c>
    </row>
    <row r="33" spans="1:42" ht="11.25" customHeight="1" x14ac:dyDescent="0.3">
      <c r="A33" s="91"/>
      <c r="B33" s="17" t="s">
        <v>23</v>
      </c>
      <c r="C33" s="17" t="s">
        <v>40</v>
      </c>
      <c r="D33" s="17" t="s">
        <v>25</v>
      </c>
      <c r="E33" s="17" t="s">
        <v>25</v>
      </c>
      <c r="F33" s="17" t="s">
        <v>25</v>
      </c>
      <c r="G33" s="18" t="s">
        <v>74</v>
      </c>
      <c r="H33" s="18" t="s">
        <v>68</v>
      </c>
      <c r="I33" s="18">
        <f>'MERCADO TUSD'!$U$30</f>
        <v>5733.0710000000008</v>
      </c>
      <c r="J33" s="15"/>
      <c r="L33" s="13">
        <f>1*(1 - CUSTOS!$M$28)</f>
        <v>1</v>
      </c>
      <c r="M3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0.85755299946651231</v>
      </c>
      <c r="N33" s="13">
        <f ca="1">(+M33+O33+R33+U33+V33+W33+X33+Y33+Z33+AA33+AC33+AH33+AI33+AJ33+AK33)*CUSTOS!$M$5</f>
        <v>3.5202745299946649E-12</v>
      </c>
      <c r="O33" s="13">
        <f>1 - CUSTOS!$M$28</f>
        <v>1</v>
      </c>
      <c r="P33" s="13">
        <f>1 - CUSTOS!$M$28</f>
        <v>1</v>
      </c>
      <c r="Q33" s="13">
        <f>1*(1 - CUSTOS!$M$28)</f>
        <v>1</v>
      </c>
      <c r="R33" s="13">
        <f>1 - CUSTOS!$M$28</f>
        <v>1</v>
      </c>
      <c r="S33" s="13">
        <f>1 - CUSTOS!$M$28</f>
        <v>1</v>
      </c>
      <c r="T33" s="13"/>
      <c r="U33" s="13">
        <f>TRANSICAO!$U$33*CUSTOS!$T$3</f>
        <v>0</v>
      </c>
      <c r="V33" s="13">
        <f>TRANSICAO!$V$33*CUSTOS!$T$3</f>
        <v>0</v>
      </c>
      <c r="W33" s="13">
        <f>TRANSICAO!$W$33*CUSTOS!$T$3</f>
        <v>0</v>
      </c>
      <c r="X33" s="13">
        <f>TRANSICAO!$X$33*CUSTOS!$T$3</f>
        <v>0</v>
      </c>
      <c r="Y33" s="13">
        <f>TRANSICAO!$Y$33*CUSTOS!$T$3</f>
        <v>99.397499999999994</v>
      </c>
      <c r="Z33" s="13">
        <f>TRANSICAO!$Z$33*CUSTOS!$T$3</f>
        <v>0</v>
      </c>
      <c r="AA33" s="13">
        <f>TRANSICAO!$AA$33*CUSTOS!$T$3</f>
        <v>0</v>
      </c>
      <c r="AB33" s="13">
        <f>TRANSICAO!$AB$33*CUSTOS!$T$3</f>
        <v>0</v>
      </c>
      <c r="AC33" s="13">
        <f>TRANSICAO!$AC$33*CUSTOS!$T$3</f>
        <v>200.1448</v>
      </c>
      <c r="AD33" s="13">
        <f>TRANSICAO!$AD$33*CUSTOS!$T$3</f>
        <v>0</v>
      </c>
      <c r="AE33" s="13">
        <v>0</v>
      </c>
      <c r="AF33" s="13">
        <v>0</v>
      </c>
      <c r="AG33" s="13"/>
      <c r="AH33" s="13">
        <f>(1 - CUSTOS!$M$28)*24.8138</f>
        <v>24.813800000000001</v>
      </c>
      <c r="AI33" s="13">
        <f>(1 - CUSTOS!$M$28)*24.8138</f>
        <v>24.813800000000001</v>
      </c>
      <c r="AJ33" s="13">
        <f ca="1">$N$64*(1-CUSTOS!$M$28)</f>
        <v>0</v>
      </c>
      <c r="AK33" s="13">
        <f t="shared" ca="1" si="0"/>
        <v>0</v>
      </c>
      <c r="AL33" s="13"/>
      <c r="AM33" s="13"/>
      <c r="AP33" s="13">
        <f>IF((1 - CUSTOS!$M$28)&lt;&gt;0,1/(1 - CUSTOS!$M$28),1)</f>
        <v>1</v>
      </c>
    </row>
    <row r="34" spans="1:42" ht="11.25" customHeight="1" x14ac:dyDescent="0.3">
      <c r="A34" s="91"/>
      <c r="B34" s="91" t="s">
        <v>82</v>
      </c>
      <c r="C34" s="91" t="s">
        <v>40</v>
      </c>
      <c r="D34" s="91" t="s">
        <v>85</v>
      </c>
      <c r="E34" s="91" t="s">
        <v>25</v>
      </c>
      <c r="F34" s="91" t="s">
        <v>25</v>
      </c>
      <c r="G34" s="18" t="s">
        <v>69</v>
      </c>
      <c r="H34" s="18" t="s">
        <v>68</v>
      </c>
      <c r="I34" s="18">
        <f>'MERCADO TUSD'!$U$31</f>
        <v>0</v>
      </c>
      <c r="J34" s="15"/>
      <c r="L34" s="13">
        <f>1*(1 - CUSTOS!$M$29)</f>
        <v>1</v>
      </c>
      <c r="M3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0.85755299946651231</v>
      </c>
      <c r="N34" s="13">
        <f ca="1">(+M34+O34+R34+U34+V34+W34+X34+Y34+Z34+AA34+AC34+AH34+AI34+AJ34+AK34)*CUSTOS!$M$5</f>
        <v>9.3614705299946656E-12</v>
      </c>
      <c r="O34" s="13">
        <f>1 - CUSTOS!$M$29</f>
        <v>1</v>
      </c>
      <c r="P34" s="13">
        <f>1 - CUSTOS!$M$29</f>
        <v>1</v>
      </c>
      <c r="Q34" s="13">
        <f>1*(1 - CUSTOS!$M$29)</f>
        <v>1</v>
      </c>
      <c r="R34" s="13">
        <f>1 - CUSTOS!$M$29</f>
        <v>1</v>
      </c>
      <c r="S34" s="13">
        <f>1 - CUSTOS!$M$29</f>
        <v>1</v>
      </c>
      <c r="T34" s="13"/>
      <c r="U34" s="13">
        <f>TRANSICAO!$U$34*CUSTOS!$T$3</f>
        <v>0</v>
      </c>
      <c r="V34" s="13">
        <f>TRANSICAO!$V$34*CUSTOS!$T$3</f>
        <v>0</v>
      </c>
      <c r="W34" s="13">
        <f>TRANSICAO!$W$34*CUSTOS!$T$3</f>
        <v>0</v>
      </c>
      <c r="X34" s="13">
        <f>TRANSICAO!$X$34*CUSTOS!$T$3</f>
        <v>0</v>
      </c>
      <c r="Y34" s="13">
        <f>TRANSICAO!$Y$34*CUSTOS!$T$3</f>
        <v>293.23469999999998</v>
      </c>
      <c r="Z34" s="13">
        <f>TRANSICAO!$Z$34*CUSTOS!$T$3</f>
        <v>0</v>
      </c>
      <c r="AA34" s="13">
        <f>TRANSICAO!$AA$34*CUSTOS!$T$3</f>
        <v>0</v>
      </c>
      <c r="AB34" s="13">
        <f>TRANSICAO!$AB$34*CUSTOS!$T$3</f>
        <v>0</v>
      </c>
      <c r="AC34" s="13">
        <f>TRANSICAO!$AC$34*CUSTOS!$T$3</f>
        <v>590.42719999999997</v>
      </c>
      <c r="AD34" s="13">
        <f>TRANSICAO!$AD$34*CUSTOS!$T$3</f>
        <v>0</v>
      </c>
      <c r="AE34" s="13">
        <v>0</v>
      </c>
      <c r="AF34" s="13">
        <v>0</v>
      </c>
      <c r="AG34" s="13"/>
      <c r="AH34" s="13">
        <f>(1 - CUSTOS!$M$29)*24.8138</f>
        <v>24.813800000000001</v>
      </c>
      <c r="AI34" s="13">
        <f>(1 - CUSTOS!$M$29)*24.8138</f>
        <v>24.813800000000001</v>
      </c>
      <c r="AJ34" s="13">
        <f ca="1">$N$64*(1-CUSTOS!$M$29)</f>
        <v>0</v>
      </c>
      <c r="AK34" s="13">
        <f t="shared" ca="1" si="0"/>
        <v>0</v>
      </c>
      <c r="AL34" s="13"/>
      <c r="AM34" s="13"/>
      <c r="AP34" s="13">
        <f>IF((1 - CUSTOS!$M$29)&lt;&gt;0,1/(1 - CUSTOS!$M$29),1)</f>
        <v>1</v>
      </c>
    </row>
    <row r="35" spans="1:42" ht="11.25" customHeight="1" x14ac:dyDescent="0.3">
      <c r="A35" s="91"/>
      <c r="B35" s="91"/>
      <c r="C35" s="91"/>
      <c r="D35" s="91"/>
      <c r="E35" s="91"/>
      <c r="F35" s="91"/>
      <c r="G35" s="18" t="s">
        <v>80</v>
      </c>
      <c r="H35" s="18" t="s">
        <v>68</v>
      </c>
      <c r="I35" s="18">
        <f>'MERCADO TUSD'!$U$32</f>
        <v>0</v>
      </c>
      <c r="J35" s="15"/>
      <c r="L35" s="13">
        <f>1*(1 - CUSTOS!$M$29)</f>
        <v>1</v>
      </c>
      <c r="M3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0.85755299946651231</v>
      </c>
      <c r="N35" s="13">
        <f ca="1">(+M35+O35+R35+U35+V35+W35+X35+Y35+Z35+AA35+AC35+AH35+AI35+AJ35+AK35)*CUSTOS!$M$5</f>
        <v>5.8266255299946648E-12</v>
      </c>
      <c r="O35" s="13">
        <f>1 - CUSTOS!$M$29</f>
        <v>1</v>
      </c>
      <c r="P35" s="13">
        <f>1 - CUSTOS!$M$29</f>
        <v>1</v>
      </c>
      <c r="Q35" s="13">
        <f>1*(1 - CUSTOS!$M$29)</f>
        <v>1</v>
      </c>
      <c r="R35" s="13">
        <f>1 - CUSTOS!$M$29</f>
        <v>1</v>
      </c>
      <c r="S35" s="13">
        <f>1 - CUSTOS!$M$29</f>
        <v>1</v>
      </c>
      <c r="T35" s="13"/>
      <c r="U35" s="13">
        <f>TRANSICAO!$U$35*CUSTOS!$T$3</f>
        <v>0</v>
      </c>
      <c r="V35" s="13">
        <f>TRANSICAO!$V$35*CUSTOS!$T$3</f>
        <v>0</v>
      </c>
      <c r="W35" s="13">
        <f>TRANSICAO!$W$35*CUSTOS!$T$3</f>
        <v>0</v>
      </c>
      <c r="X35" s="13">
        <f>TRANSICAO!$X$35*CUSTOS!$T$3</f>
        <v>0</v>
      </c>
      <c r="Y35" s="13">
        <f>TRANSICAO!$Y$35*CUSTOS!$T$3</f>
        <v>175.9212</v>
      </c>
      <c r="Z35" s="13">
        <f>TRANSICAO!$Z$35*CUSTOS!$T$3</f>
        <v>0</v>
      </c>
      <c r="AA35" s="13">
        <f>TRANSICAO!$AA$35*CUSTOS!$T$3</f>
        <v>0</v>
      </c>
      <c r="AB35" s="13">
        <f>TRANSICAO!$AB$35*CUSTOS!$T$3</f>
        <v>0</v>
      </c>
      <c r="AC35" s="13">
        <f>TRANSICAO!$AC$35*CUSTOS!$T$3</f>
        <v>354.25619999999998</v>
      </c>
      <c r="AD35" s="13">
        <f>TRANSICAO!$AD$35*CUSTOS!$T$3</f>
        <v>0</v>
      </c>
      <c r="AE35" s="13">
        <v>0</v>
      </c>
      <c r="AF35" s="13">
        <v>0</v>
      </c>
      <c r="AG35" s="13"/>
      <c r="AH35" s="13">
        <f>(1 - CUSTOS!$M$29)*24.8138</f>
        <v>24.813800000000001</v>
      </c>
      <c r="AI35" s="13">
        <f>(1 - CUSTOS!$M$29)*24.8138</f>
        <v>24.813800000000001</v>
      </c>
      <c r="AJ35" s="13">
        <f ca="1">$N$64*(1-CUSTOS!$M$29)</f>
        <v>0</v>
      </c>
      <c r="AK35" s="13">
        <f t="shared" ca="1" si="0"/>
        <v>0</v>
      </c>
      <c r="AL35" s="13"/>
      <c r="AM35" s="13"/>
      <c r="AP35" s="13">
        <f>IF((1 - CUSTOS!$M$29)&lt;&gt;0,1/(1 - CUSTOS!$M$29),1)</f>
        <v>1</v>
      </c>
    </row>
    <row r="36" spans="1:42" ht="11.25" customHeight="1" x14ac:dyDescent="0.3">
      <c r="A36" s="91"/>
      <c r="B36" s="91"/>
      <c r="C36" s="91"/>
      <c r="D36" s="91"/>
      <c r="E36" s="91"/>
      <c r="F36" s="91"/>
      <c r="G36" s="18" t="s">
        <v>70</v>
      </c>
      <c r="H36" s="18" t="s">
        <v>68</v>
      </c>
      <c r="I36" s="18">
        <f>'MERCADO TUSD'!$U$33</f>
        <v>0</v>
      </c>
      <c r="J36" s="15"/>
      <c r="L36" s="13">
        <f>1*(1 - CUSTOS!$M$29)</f>
        <v>1</v>
      </c>
      <c r="M3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0.85755299946651231</v>
      </c>
      <c r="N36" s="13">
        <f ca="1">(+M36+O36+R36+U36+V36+W36+X36+Y36+Z36+AA36+AC36+AH36+AI36+AJ36+AK36)*CUSTOS!$M$5</f>
        <v>2.2917825299946656E-12</v>
      </c>
      <c r="O36" s="13">
        <f>1 - CUSTOS!$M$29</f>
        <v>1</v>
      </c>
      <c r="P36" s="13">
        <f>1 - CUSTOS!$M$29</f>
        <v>1</v>
      </c>
      <c r="Q36" s="13">
        <f>1*(1 - CUSTOS!$M$29)</f>
        <v>1</v>
      </c>
      <c r="R36" s="13">
        <f>1 - CUSTOS!$M$29</f>
        <v>1</v>
      </c>
      <c r="S36" s="13">
        <f>1 - CUSTOS!$M$29</f>
        <v>1</v>
      </c>
      <c r="T36" s="13"/>
      <c r="U36" s="13">
        <f>TRANSICAO!$U$36*CUSTOS!$T$3</f>
        <v>0</v>
      </c>
      <c r="V36" s="13">
        <f>TRANSICAO!$V$36*CUSTOS!$T$3</f>
        <v>0</v>
      </c>
      <c r="W36" s="13">
        <f>TRANSICAO!$W$36*CUSTOS!$T$3</f>
        <v>0</v>
      </c>
      <c r="X36" s="13">
        <f>TRANSICAO!$X$36*CUSTOS!$T$3</f>
        <v>0</v>
      </c>
      <c r="Y36" s="13">
        <f>TRANSICAO!$Y$36*CUSTOS!$T$3</f>
        <v>58.607700000000001</v>
      </c>
      <c r="Z36" s="13">
        <f>TRANSICAO!$Z$36*CUSTOS!$T$3</f>
        <v>0</v>
      </c>
      <c r="AA36" s="13">
        <f>TRANSICAO!$AA$36*CUSTOS!$T$3</f>
        <v>0</v>
      </c>
      <c r="AB36" s="13">
        <f>TRANSICAO!$AB$36*CUSTOS!$T$3</f>
        <v>0</v>
      </c>
      <c r="AC36" s="13">
        <f>TRANSICAO!$AC$36*CUSTOS!$T$3</f>
        <v>118.08540000000001</v>
      </c>
      <c r="AD36" s="13">
        <f>TRANSICAO!$AD$36*CUSTOS!$T$3</f>
        <v>0</v>
      </c>
      <c r="AE36" s="13">
        <v>0</v>
      </c>
      <c r="AF36" s="13">
        <v>0</v>
      </c>
      <c r="AG36" s="13"/>
      <c r="AH36" s="13">
        <f>(1 - CUSTOS!$M$29)*24.8138</f>
        <v>24.813800000000001</v>
      </c>
      <c r="AI36" s="13">
        <f>(1 - CUSTOS!$M$29)*24.8138</f>
        <v>24.813800000000001</v>
      </c>
      <c r="AJ36" s="13">
        <f ca="1">$N$64*(1-CUSTOS!$M$29)</f>
        <v>0</v>
      </c>
      <c r="AK36" s="13">
        <f t="shared" ca="1" si="0"/>
        <v>0</v>
      </c>
      <c r="AL36" s="13"/>
      <c r="AM36" s="13"/>
      <c r="AP36" s="13">
        <f>IF((1 - CUSTOS!$M$29)&lt;&gt;0,1/(1 - CUSTOS!$M$29),1)</f>
        <v>1</v>
      </c>
    </row>
    <row r="37" spans="1:42" ht="11.25" customHeight="1" x14ac:dyDescent="0.3">
      <c r="A37" s="91"/>
      <c r="B37" s="17" t="s">
        <v>23</v>
      </c>
      <c r="C37" s="17" t="s">
        <v>40</v>
      </c>
      <c r="D37" s="17" t="s">
        <v>85</v>
      </c>
      <c r="E37" s="17" t="s">
        <v>25</v>
      </c>
      <c r="F37" s="17" t="s">
        <v>25</v>
      </c>
      <c r="G37" s="18" t="s">
        <v>74</v>
      </c>
      <c r="H37" s="18" t="s">
        <v>68</v>
      </c>
      <c r="I37" s="18">
        <f>'MERCADO TUSD'!$U$34</f>
        <v>0</v>
      </c>
      <c r="J37" s="15"/>
      <c r="L37" s="13">
        <f>1*(1 - CUSTOS!$M$29)</f>
        <v>1</v>
      </c>
      <c r="M3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0.85755299946651231</v>
      </c>
      <c r="N37" s="13">
        <f ca="1">(+M37+O37+R37+U37+V37+W37+X37+Y37+Z37+AA37+AC37+AH37+AI37+AJ37+AK37)*CUSTOS!$M$5</f>
        <v>3.5202745299946649E-12</v>
      </c>
      <c r="O37" s="13">
        <f>1 - CUSTOS!$M$29</f>
        <v>1</v>
      </c>
      <c r="P37" s="13">
        <f>1 - CUSTOS!$M$29</f>
        <v>1</v>
      </c>
      <c r="Q37" s="13">
        <f>1*(1 - CUSTOS!$M$29)</f>
        <v>1</v>
      </c>
      <c r="R37" s="13">
        <f>1 - CUSTOS!$M$29</f>
        <v>1</v>
      </c>
      <c r="S37" s="13">
        <f>1 - CUSTOS!$M$29</f>
        <v>1</v>
      </c>
      <c r="T37" s="13"/>
      <c r="U37" s="13">
        <f>TRANSICAO!$U$37*CUSTOS!$T$3</f>
        <v>0</v>
      </c>
      <c r="V37" s="13">
        <f>TRANSICAO!$V$37*CUSTOS!$T$3</f>
        <v>0</v>
      </c>
      <c r="W37" s="13">
        <f>TRANSICAO!$W$37*CUSTOS!$T$3</f>
        <v>0</v>
      </c>
      <c r="X37" s="13">
        <f>TRANSICAO!$X$37*CUSTOS!$T$3</f>
        <v>0</v>
      </c>
      <c r="Y37" s="13">
        <f>TRANSICAO!$Y$37*CUSTOS!$T$3</f>
        <v>99.397499999999994</v>
      </c>
      <c r="Z37" s="13">
        <f>TRANSICAO!$Z$37*CUSTOS!$T$3</f>
        <v>0</v>
      </c>
      <c r="AA37" s="13">
        <f>TRANSICAO!$AA$37*CUSTOS!$T$3</f>
        <v>0</v>
      </c>
      <c r="AB37" s="13">
        <f>TRANSICAO!$AB$37*CUSTOS!$T$3</f>
        <v>0</v>
      </c>
      <c r="AC37" s="13">
        <f>TRANSICAO!$AC$37*CUSTOS!$T$3</f>
        <v>200.1448</v>
      </c>
      <c r="AD37" s="13">
        <f>TRANSICAO!$AD$37*CUSTOS!$T$3</f>
        <v>0</v>
      </c>
      <c r="AE37" s="13">
        <v>0</v>
      </c>
      <c r="AF37" s="13">
        <v>0</v>
      </c>
      <c r="AG37" s="13"/>
      <c r="AH37" s="13">
        <f>(1 - CUSTOS!$M$29)*24.8138</f>
        <v>24.813800000000001</v>
      </c>
      <c r="AI37" s="13">
        <f>(1 - CUSTOS!$M$29)*24.8138</f>
        <v>24.813800000000001</v>
      </c>
      <c r="AJ37" s="13">
        <f ca="1">$N$64*(1-CUSTOS!$M$29)</f>
        <v>0</v>
      </c>
      <c r="AK37" s="13">
        <f t="shared" ca="1" si="0"/>
        <v>0</v>
      </c>
      <c r="AL37" s="13"/>
      <c r="AM37" s="13"/>
      <c r="AP37" s="13">
        <f>IF((1 - CUSTOS!$M$29)&lt;&gt;0,1/(1 - CUSTOS!$M$29),1)</f>
        <v>1</v>
      </c>
    </row>
    <row r="38" spans="1:42" ht="11.25" customHeight="1" x14ac:dyDescent="0.3">
      <c r="A38" s="91"/>
      <c r="B38" s="91" t="s">
        <v>82</v>
      </c>
      <c r="C38" s="91" t="s">
        <v>40</v>
      </c>
      <c r="D38" s="91" t="s">
        <v>86</v>
      </c>
      <c r="E38" s="91" t="s">
        <v>25</v>
      </c>
      <c r="F38" s="91" t="s">
        <v>25</v>
      </c>
      <c r="G38" s="18" t="s">
        <v>69</v>
      </c>
      <c r="H38" s="18" t="s">
        <v>68</v>
      </c>
      <c r="I38" s="18">
        <f>'MERCADO TUSD'!$U$35</f>
        <v>0</v>
      </c>
      <c r="J38" s="15"/>
      <c r="L38" s="13">
        <f>1*(1 - CUSTOS!$M$30)</f>
        <v>1</v>
      </c>
      <c r="M3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0.85755299946651231</v>
      </c>
      <c r="N38" s="13">
        <f ca="1">(+M38+O38+R38+U38+V38+W38+X38+Y38+Z38+AA38+AC38+AH38+AI38+AJ38+AK38)*CUSTOS!$M$5</f>
        <v>9.3614705299946656E-12</v>
      </c>
      <c r="O38" s="13">
        <f>1 - CUSTOS!$M$30</f>
        <v>1</v>
      </c>
      <c r="P38" s="13">
        <f>1 - CUSTOS!$M$30</f>
        <v>1</v>
      </c>
      <c r="Q38" s="13">
        <f>1*(1 - CUSTOS!$M$30)</f>
        <v>1</v>
      </c>
      <c r="R38" s="13">
        <f>1 - CUSTOS!$M$30</f>
        <v>1</v>
      </c>
      <c r="S38" s="13">
        <f>1 - CUSTOS!$M$30</f>
        <v>1</v>
      </c>
      <c r="T38" s="13"/>
      <c r="U38" s="13">
        <f>TRANSICAO!$U$38*CUSTOS!$T$3</f>
        <v>0</v>
      </c>
      <c r="V38" s="13">
        <f>TRANSICAO!$V$38*CUSTOS!$T$3</f>
        <v>0</v>
      </c>
      <c r="W38" s="13">
        <f>TRANSICAO!$W$38*CUSTOS!$T$3</f>
        <v>0</v>
      </c>
      <c r="X38" s="13">
        <f>TRANSICAO!$X$38*CUSTOS!$T$3</f>
        <v>0</v>
      </c>
      <c r="Y38" s="13">
        <f>TRANSICAO!$Y$38*CUSTOS!$T$3</f>
        <v>293.23469999999998</v>
      </c>
      <c r="Z38" s="13">
        <f>TRANSICAO!$Z$38*CUSTOS!$T$3</f>
        <v>0</v>
      </c>
      <c r="AA38" s="13">
        <f>TRANSICAO!$AA$38*CUSTOS!$T$3</f>
        <v>0</v>
      </c>
      <c r="AB38" s="13">
        <f>TRANSICAO!$AB$38*CUSTOS!$T$3</f>
        <v>0</v>
      </c>
      <c r="AC38" s="13">
        <f>TRANSICAO!$AC$38*CUSTOS!$T$3</f>
        <v>590.42719999999997</v>
      </c>
      <c r="AD38" s="13">
        <f>TRANSICAO!$AD$38*CUSTOS!$T$3</f>
        <v>0</v>
      </c>
      <c r="AE38" s="13">
        <v>0</v>
      </c>
      <c r="AF38" s="13">
        <v>0</v>
      </c>
      <c r="AG38" s="13"/>
      <c r="AH38" s="13">
        <f>(1 - CUSTOS!$M$30)*24.8138</f>
        <v>24.813800000000001</v>
      </c>
      <c r="AI38" s="13">
        <f>(1 - CUSTOS!$M$30)*24.8138</f>
        <v>24.813800000000001</v>
      </c>
      <c r="AJ38" s="13">
        <f ca="1">$N$64*(1-CUSTOS!$M$30)</f>
        <v>0</v>
      </c>
      <c r="AK38" s="13">
        <f t="shared" ca="1" si="0"/>
        <v>0</v>
      </c>
      <c r="AL38" s="13"/>
      <c r="AM38" s="13"/>
      <c r="AP38" s="13">
        <f>IF((1 - CUSTOS!$M$30)&lt;&gt;0,1/(1 - CUSTOS!$M$30),1)</f>
        <v>1</v>
      </c>
    </row>
    <row r="39" spans="1:42" ht="11.25" customHeight="1" x14ac:dyDescent="0.3">
      <c r="A39" s="91"/>
      <c r="B39" s="91"/>
      <c r="C39" s="91"/>
      <c r="D39" s="91"/>
      <c r="E39" s="91"/>
      <c r="F39" s="91"/>
      <c r="G39" s="18" t="s">
        <v>80</v>
      </c>
      <c r="H39" s="18" t="s">
        <v>68</v>
      </c>
      <c r="I39" s="18">
        <f>'MERCADO TUSD'!$U$36</f>
        <v>0</v>
      </c>
      <c r="J39" s="15"/>
      <c r="L39" s="13">
        <f>1*(1 - CUSTOS!$M$30)</f>
        <v>1</v>
      </c>
      <c r="M3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0.85755299946651231</v>
      </c>
      <c r="N39" s="13">
        <f ca="1">(+M39+O39+R39+U39+V39+W39+X39+Y39+Z39+AA39+AC39+AH39+AI39+AJ39+AK39)*CUSTOS!$M$5</f>
        <v>5.8266255299946648E-12</v>
      </c>
      <c r="O39" s="13">
        <f>1 - CUSTOS!$M$30</f>
        <v>1</v>
      </c>
      <c r="P39" s="13">
        <f>1 - CUSTOS!$M$30</f>
        <v>1</v>
      </c>
      <c r="Q39" s="13">
        <f>1*(1 - CUSTOS!$M$30)</f>
        <v>1</v>
      </c>
      <c r="R39" s="13">
        <f>1 - CUSTOS!$M$30</f>
        <v>1</v>
      </c>
      <c r="S39" s="13">
        <f>1 - CUSTOS!$M$30</f>
        <v>1</v>
      </c>
      <c r="T39" s="13"/>
      <c r="U39" s="13">
        <f>TRANSICAO!$U$39*CUSTOS!$T$3</f>
        <v>0</v>
      </c>
      <c r="V39" s="13">
        <f>TRANSICAO!$V$39*CUSTOS!$T$3</f>
        <v>0</v>
      </c>
      <c r="W39" s="13">
        <f>TRANSICAO!$W$39*CUSTOS!$T$3</f>
        <v>0</v>
      </c>
      <c r="X39" s="13">
        <f>TRANSICAO!$X$39*CUSTOS!$T$3</f>
        <v>0</v>
      </c>
      <c r="Y39" s="13">
        <f>TRANSICAO!$Y$39*CUSTOS!$T$3</f>
        <v>175.9212</v>
      </c>
      <c r="Z39" s="13">
        <f>TRANSICAO!$Z$39*CUSTOS!$T$3</f>
        <v>0</v>
      </c>
      <c r="AA39" s="13">
        <f>TRANSICAO!$AA$39*CUSTOS!$T$3</f>
        <v>0</v>
      </c>
      <c r="AB39" s="13">
        <f>TRANSICAO!$AB$39*CUSTOS!$T$3</f>
        <v>0</v>
      </c>
      <c r="AC39" s="13">
        <f>TRANSICAO!$AC$39*CUSTOS!$T$3</f>
        <v>354.25619999999998</v>
      </c>
      <c r="AD39" s="13">
        <f>TRANSICAO!$AD$39*CUSTOS!$T$3</f>
        <v>0</v>
      </c>
      <c r="AE39" s="13">
        <v>0</v>
      </c>
      <c r="AF39" s="13">
        <v>0</v>
      </c>
      <c r="AG39" s="13"/>
      <c r="AH39" s="13">
        <f>(1 - CUSTOS!$M$30)*24.8138</f>
        <v>24.813800000000001</v>
      </c>
      <c r="AI39" s="13">
        <f>(1 - CUSTOS!$M$30)*24.8138</f>
        <v>24.813800000000001</v>
      </c>
      <c r="AJ39" s="13">
        <f ca="1">$N$64*(1-CUSTOS!$M$30)</f>
        <v>0</v>
      </c>
      <c r="AK39" s="13">
        <f t="shared" ca="1" si="0"/>
        <v>0</v>
      </c>
      <c r="AL39" s="13"/>
      <c r="AM39" s="13"/>
      <c r="AP39" s="13">
        <f>IF((1 - CUSTOS!$M$30)&lt;&gt;0,1/(1 - CUSTOS!$M$30),1)</f>
        <v>1</v>
      </c>
    </row>
    <row r="40" spans="1:42" ht="11.25" customHeight="1" x14ac:dyDescent="0.3">
      <c r="A40" s="91"/>
      <c r="B40" s="91"/>
      <c r="C40" s="91"/>
      <c r="D40" s="91"/>
      <c r="E40" s="91"/>
      <c r="F40" s="91"/>
      <c r="G40" s="18" t="s">
        <v>70</v>
      </c>
      <c r="H40" s="18" t="s">
        <v>68</v>
      </c>
      <c r="I40" s="18">
        <f>'MERCADO TUSD'!$U$37</f>
        <v>0</v>
      </c>
      <c r="J40" s="15"/>
      <c r="L40" s="13">
        <f>1*(1 - CUSTOS!$M$30)</f>
        <v>1</v>
      </c>
      <c r="M4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0.85755299946651231</v>
      </c>
      <c r="N40" s="13">
        <f ca="1">(+M40+O40+R40+U40+V40+W40+X40+Y40+Z40+AA40+AC40+AH40+AI40+AJ40+AK40)*CUSTOS!$M$5</f>
        <v>2.2917825299946656E-12</v>
      </c>
      <c r="O40" s="13">
        <f>1 - CUSTOS!$M$30</f>
        <v>1</v>
      </c>
      <c r="P40" s="13">
        <f>1 - CUSTOS!$M$30</f>
        <v>1</v>
      </c>
      <c r="Q40" s="13">
        <f>1*(1 - CUSTOS!$M$30)</f>
        <v>1</v>
      </c>
      <c r="R40" s="13">
        <f>1 - CUSTOS!$M$30</f>
        <v>1</v>
      </c>
      <c r="S40" s="13">
        <f>1 - CUSTOS!$M$30</f>
        <v>1</v>
      </c>
      <c r="T40" s="13"/>
      <c r="U40" s="13">
        <f>TRANSICAO!$U$40*CUSTOS!$T$3</f>
        <v>0</v>
      </c>
      <c r="V40" s="13">
        <f>TRANSICAO!$V$40*CUSTOS!$T$3</f>
        <v>0</v>
      </c>
      <c r="W40" s="13">
        <f>TRANSICAO!$W$40*CUSTOS!$T$3</f>
        <v>0</v>
      </c>
      <c r="X40" s="13">
        <f>TRANSICAO!$X$40*CUSTOS!$T$3</f>
        <v>0</v>
      </c>
      <c r="Y40" s="13">
        <f>TRANSICAO!$Y$40*CUSTOS!$T$3</f>
        <v>58.607700000000001</v>
      </c>
      <c r="Z40" s="13">
        <f>TRANSICAO!$Z$40*CUSTOS!$T$3</f>
        <v>0</v>
      </c>
      <c r="AA40" s="13">
        <f>TRANSICAO!$AA$40*CUSTOS!$T$3</f>
        <v>0</v>
      </c>
      <c r="AB40" s="13">
        <f>TRANSICAO!$AB$40*CUSTOS!$T$3</f>
        <v>0</v>
      </c>
      <c r="AC40" s="13">
        <f>TRANSICAO!$AC$40*CUSTOS!$T$3</f>
        <v>118.08540000000001</v>
      </c>
      <c r="AD40" s="13">
        <f>TRANSICAO!$AD$40*CUSTOS!$T$3</f>
        <v>0</v>
      </c>
      <c r="AE40" s="13">
        <v>0</v>
      </c>
      <c r="AF40" s="13">
        <v>0</v>
      </c>
      <c r="AG40" s="13"/>
      <c r="AH40" s="13">
        <f>(1 - CUSTOS!$M$30)*24.8138</f>
        <v>24.813800000000001</v>
      </c>
      <c r="AI40" s="13">
        <f>(1 - CUSTOS!$M$30)*24.8138</f>
        <v>24.813800000000001</v>
      </c>
      <c r="AJ40" s="13">
        <f ca="1">$N$64*(1-CUSTOS!$M$30)</f>
        <v>0</v>
      </c>
      <c r="AK40" s="13">
        <f t="shared" ca="1" si="0"/>
        <v>0</v>
      </c>
      <c r="AL40" s="13"/>
      <c r="AM40" s="13"/>
      <c r="AP40" s="13">
        <f>IF((1 - CUSTOS!$M$30)&lt;&gt;0,1/(1 - CUSTOS!$M$30),1)</f>
        <v>1</v>
      </c>
    </row>
    <row r="41" spans="1:42" ht="11.25" customHeight="1" x14ac:dyDescent="0.3">
      <c r="A41" s="91"/>
      <c r="B41" s="17" t="s">
        <v>23</v>
      </c>
      <c r="C41" s="17" t="s">
        <v>40</v>
      </c>
      <c r="D41" s="17" t="s">
        <v>86</v>
      </c>
      <c r="E41" s="17" t="s">
        <v>25</v>
      </c>
      <c r="F41" s="17" t="s">
        <v>25</v>
      </c>
      <c r="G41" s="18" t="s">
        <v>74</v>
      </c>
      <c r="H41" s="18" t="s">
        <v>68</v>
      </c>
      <c r="I41" s="18">
        <f>'MERCADO TUSD'!$U$38</f>
        <v>0</v>
      </c>
      <c r="J41" s="15"/>
      <c r="L41" s="13">
        <f>1*(1 - CUSTOS!$M$30)</f>
        <v>1</v>
      </c>
      <c r="M4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0.85755299946651231</v>
      </c>
      <c r="N41" s="13">
        <f ca="1">(+M41+O41+R41+U41+V41+W41+X41+Y41+Z41+AA41+AC41+AH41+AI41+AJ41+AK41)*CUSTOS!$M$5</f>
        <v>3.5202745299946649E-12</v>
      </c>
      <c r="O41" s="13">
        <f>1 - CUSTOS!$M$30</f>
        <v>1</v>
      </c>
      <c r="P41" s="13">
        <f>1 - CUSTOS!$M$30</f>
        <v>1</v>
      </c>
      <c r="Q41" s="13">
        <f>1*(1 - CUSTOS!$M$30)</f>
        <v>1</v>
      </c>
      <c r="R41" s="13">
        <f>1 - CUSTOS!$M$30</f>
        <v>1</v>
      </c>
      <c r="S41" s="13">
        <f>1 - CUSTOS!$M$30</f>
        <v>1</v>
      </c>
      <c r="T41" s="13"/>
      <c r="U41" s="13">
        <f>TRANSICAO!$U$41*CUSTOS!$T$3</f>
        <v>0</v>
      </c>
      <c r="V41" s="13">
        <f>TRANSICAO!$V$41*CUSTOS!$T$3</f>
        <v>0</v>
      </c>
      <c r="W41" s="13">
        <f>TRANSICAO!$W$41*CUSTOS!$T$3</f>
        <v>0</v>
      </c>
      <c r="X41" s="13">
        <f>TRANSICAO!$X$41*CUSTOS!$T$3</f>
        <v>0</v>
      </c>
      <c r="Y41" s="13">
        <f>TRANSICAO!$Y$41*CUSTOS!$T$3</f>
        <v>99.397499999999994</v>
      </c>
      <c r="Z41" s="13">
        <f>TRANSICAO!$Z$41*CUSTOS!$T$3</f>
        <v>0</v>
      </c>
      <c r="AA41" s="13">
        <f>TRANSICAO!$AA$41*CUSTOS!$T$3</f>
        <v>0</v>
      </c>
      <c r="AB41" s="13">
        <f>TRANSICAO!$AB$41*CUSTOS!$T$3</f>
        <v>0</v>
      </c>
      <c r="AC41" s="13">
        <f>TRANSICAO!$AC$41*CUSTOS!$T$3</f>
        <v>200.1448</v>
      </c>
      <c r="AD41" s="13">
        <f>TRANSICAO!$AD$41*CUSTOS!$T$3</f>
        <v>0</v>
      </c>
      <c r="AE41" s="13">
        <v>0</v>
      </c>
      <c r="AF41" s="13">
        <v>0</v>
      </c>
      <c r="AG41" s="13"/>
      <c r="AH41" s="13">
        <f>(1 - CUSTOS!$M$30)*24.8138</f>
        <v>24.813800000000001</v>
      </c>
      <c r="AI41" s="13">
        <f>(1 - CUSTOS!$M$30)*24.8138</f>
        <v>24.813800000000001</v>
      </c>
      <c r="AJ41" s="13">
        <f ca="1">$N$64*(1-CUSTOS!$M$30)</f>
        <v>0</v>
      </c>
      <c r="AK41" s="13">
        <f t="shared" ca="1" si="0"/>
        <v>0</v>
      </c>
      <c r="AL41" s="13"/>
      <c r="AM41" s="13"/>
      <c r="AP41" s="13">
        <f>IF((1 - CUSTOS!$M$30)&lt;&gt;0,1/(1 - CUSTOS!$M$30),1)</f>
        <v>1</v>
      </c>
    </row>
    <row r="42" spans="1:42" ht="11.25" customHeight="1" x14ac:dyDescent="0.3">
      <c r="A42" s="91"/>
      <c r="B42" s="91" t="s">
        <v>84</v>
      </c>
      <c r="C42" s="91" t="s">
        <v>40</v>
      </c>
      <c r="D42" s="17" t="s">
        <v>25</v>
      </c>
      <c r="E42" s="17" t="s">
        <v>25</v>
      </c>
      <c r="F42" s="17" t="s">
        <v>25</v>
      </c>
      <c r="G42" s="18" t="s">
        <v>74</v>
      </c>
      <c r="H42" s="18" t="s">
        <v>68</v>
      </c>
      <c r="I42" s="18">
        <f>'MERCADO TUSD'!$U$39</f>
        <v>0</v>
      </c>
      <c r="J42" s="15"/>
      <c r="L42" s="13">
        <f>1*(1 - CUSTOS!$M$28)</f>
        <v>1</v>
      </c>
      <c r="M4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0.85755299946651231</v>
      </c>
      <c r="N42" s="13">
        <f ca="1">(+M42+O42+R42+U42+V42+W42+X42+Y42+Z42+AA42+AC42+AH42+AI42+AJ42+AK42)*CUSTOS!$M$5</f>
        <v>3.5202745299946649E-12</v>
      </c>
      <c r="O42" s="13">
        <f>1 - CUSTOS!$M$28</f>
        <v>1</v>
      </c>
      <c r="P42" s="13">
        <f>1 - CUSTOS!$M$28</f>
        <v>1</v>
      </c>
      <c r="Q42" s="13">
        <f>1*(1 - CUSTOS!$M$28)</f>
        <v>1</v>
      </c>
      <c r="R42" s="13">
        <f>1 - CUSTOS!$M$28</f>
        <v>1</v>
      </c>
      <c r="S42" s="13">
        <f>1 - CUSTOS!$M$28</f>
        <v>1</v>
      </c>
      <c r="T42" s="13"/>
      <c r="U42" s="13">
        <f>TRANSICAO!$U$42*CUSTOS!$T$3</f>
        <v>0</v>
      </c>
      <c r="V42" s="13">
        <f>TRANSICAO!$V$42*CUSTOS!$T$3</f>
        <v>0</v>
      </c>
      <c r="W42" s="13">
        <f>TRANSICAO!$W$42*CUSTOS!$T$3</f>
        <v>0</v>
      </c>
      <c r="X42" s="13">
        <f>TRANSICAO!$X$42*CUSTOS!$T$3</f>
        <v>0</v>
      </c>
      <c r="Y42" s="13">
        <f>TRANSICAO!$Y$42*CUSTOS!$T$3</f>
        <v>99.397499999999994</v>
      </c>
      <c r="Z42" s="13">
        <f>TRANSICAO!$Z$42*CUSTOS!$T$3</f>
        <v>0</v>
      </c>
      <c r="AA42" s="13">
        <f>TRANSICAO!$AA$42*CUSTOS!$T$3</f>
        <v>0</v>
      </c>
      <c r="AB42" s="13">
        <f>TRANSICAO!$AB$42*CUSTOS!$T$3</f>
        <v>0</v>
      </c>
      <c r="AC42" s="13">
        <f>TRANSICAO!$AC$42*CUSTOS!$T$3</f>
        <v>200.1448</v>
      </c>
      <c r="AD42" s="13">
        <f>TRANSICAO!$AD$42*CUSTOS!$T$3</f>
        <v>0</v>
      </c>
      <c r="AE42" s="13">
        <v>0</v>
      </c>
      <c r="AF42" s="13">
        <v>0</v>
      </c>
      <c r="AG42" s="13"/>
      <c r="AH42" s="13">
        <f>(1 - CUSTOS!$M$28)*24.8138</f>
        <v>24.813800000000001</v>
      </c>
      <c r="AI42" s="13">
        <f>(1 - CUSTOS!$M$28)*24.8138</f>
        <v>24.813800000000001</v>
      </c>
      <c r="AJ42" s="13">
        <f ca="1">$N$64*(1-CUSTOS!$M$28)</f>
        <v>0</v>
      </c>
      <c r="AK42" s="13">
        <f t="shared" ca="1" si="0"/>
        <v>0</v>
      </c>
      <c r="AL42" s="13"/>
      <c r="AM42" s="13"/>
      <c r="AP42" s="13">
        <f>IF((1 - CUSTOS!$M$28)&lt;&gt;0,1/(1 - CUSTOS!$M$28),1)</f>
        <v>1</v>
      </c>
    </row>
    <row r="43" spans="1:42" ht="11.25" customHeight="1" x14ac:dyDescent="0.3">
      <c r="A43" s="91"/>
      <c r="B43" s="91"/>
      <c r="C43" s="91"/>
      <c r="D43" s="17" t="s">
        <v>85</v>
      </c>
      <c r="E43" s="17" t="s">
        <v>25</v>
      </c>
      <c r="F43" s="17" t="s">
        <v>25</v>
      </c>
      <c r="G43" s="18" t="s">
        <v>74</v>
      </c>
      <c r="H43" s="18" t="s">
        <v>68</v>
      </c>
      <c r="I43" s="18">
        <f>'MERCADO TUSD'!$U$40</f>
        <v>0</v>
      </c>
      <c r="J43" s="15"/>
      <c r="L43" s="13">
        <f>1*(1 - CUSTOS!$M$29)</f>
        <v>1</v>
      </c>
      <c r="M4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0.85755299946651231</v>
      </c>
      <c r="N43" s="13">
        <f ca="1">(+M43+O43+R43+U43+V43+W43+X43+Y43+Z43+AA43+AC43+AH43+AI43+AJ43+AK43)*CUSTOS!$M$5</f>
        <v>3.5202745299946649E-12</v>
      </c>
      <c r="O43" s="13">
        <f>1 - CUSTOS!$M$29</f>
        <v>1</v>
      </c>
      <c r="P43" s="13">
        <f>1 - CUSTOS!$M$29</f>
        <v>1</v>
      </c>
      <c r="Q43" s="13">
        <f>1*(1 - CUSTOS!$M$29)</f>
        <v>1</v>
      </c>
      <c r="R43" s="13">
        <f>1 - CUSTOS!$M$29</f>
        <v>1</v>
      </c>
      <c r="S43" s="13">
        <f>1 - CUSTOS!$M$29</f>
        <v>1</v>
      </c>
      <c r="T43" s="13"/>
      <c r="U43" s="13">
        <f>TRANSICAO!$U$43*CUSTOS!$T$3</f>
        <v>0</v>
      </c>
      <c r="V43" s="13">
        <f>TRANSICAO!$V$43*CUSTOS!$T$3</f>
        <v>0</v>
      </c>
      <c r="W43" s="13">
        <f>TRANSICAO!$W$43*CUSTOS!$T$3</f>
        <v>0</v>
      </c>
      <c r="X43" s="13">
        <f>TRANSICAO!$X$43*CUSTOS!$T$3</f>
        <v>0</v>
      </c>
      <c r="Y43" s="13">
        <f>TRANSICAO!$Y$43*CUSTOS!$T$3</f>
        <v>99.397499999999994</v>
      </c>
      <c r="Z43" s="13">
        <f>TRANSICAO!$Z$43*CUSTOS!$T$3</f>
        <v>0</v>
      </c>
      <c r="AA43" s="13">
        <f>TRANSICAO!$AA$43*CUSTOS!$T$3</f>
        <v>0</v>
      </c>
      <c r="AB43" s="13">
        <f>TRANSICAO!$AB$43*CUSTOS!$T$3</f>
        <v>0</v>
      </c>
      <c r="AC43" s="13">
        <f>TRANSICAO!$AC$43*CUSTOS!$T$3</f>
        <v>200.1448</v>
      </c>
      <c r="AD43" s="13">
        <f>TRANSICAO!$AD$43*CUSTOS!$T$3</f>
        <v>0</v>
      </c>
      <c r="AE43" s="13">
        <v>0</v>
      </c>
      <c r="AF43" s="13">
        <v>0</v>
      </c>
      <c r="AG43" s="13"/>
      <c r="AH43" s="13">
        <f>(1 - CUSTOS!$M$29)*24.8138</f>
        <v>24.813800000000001</v>
      </c>
      <c r="AI43" s="13">
        <f>(1 - CUSTOS!$M$29)*24.8138</f>
        <v>24.813800000000001</v>
      </c>
      <c r="AJ43" s="13">
        <f ca="1">$N$64*(1-CUSTOS!$M$29)</f>
        <v>0</v>
      </c>
      <c r="AK43" s="13">
        <f t="shared" ca="1" si="0"/>
        <v>0</v>
      </c>
      <c r="AL43" s="13"/>
      <c r="AM43" s="13"/>
      <c r="AP43" s="13">
        <f>IF((1 - CUSTOS!$M$29)&lt;&gt;0,1/(1 - CUSTOS!$M$29),1)</f>
        <v>1</v>
      </c>
    </row>
    <row r="44" spans="1:42" ht="11.25" customHeight="1" x14ac:dyDescent="0.3">
      <c r="A44" s="91"/>
      <c r="B44" s="91"/>
      <c r="C44" s="91"/>
      <c r="D44" s="17" t="s">
        <v>86</v>
      </c>
      <c r="E44" s="17" t="s">
        <v>25</v>
      </c>
      <c r="F44" s="17" t="s">
        <v>25</v>
      </c>
      <c r="G44" s="18" t="s">
        <v>74</v>
      </c>
      <c r="H44" s="18" t="s">
        <v>68</v>
      </c>
      <c r="I44" s="18">
        <f>'MERCADO TUSD'!$U$41</f>
        <v>0</v>
      </c>
      <c r="J44" s="15"/>
      <c r="L44" s="13">
        <f>1*(1 - CUSTOS!$M$30)</f>
        <v>1</v>
      </c>
      <c r="M4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0.85755299946651231</v>
      </c>
      <c r="N44" s="13">
        <f ca="1">(+M44+O44+R44+U44+V44+W44+X44+Y44+Z44+AA44+AC44+AH44+AI44+AJ44+AK44)*CUSTOS!$M$5</f>
        <v>3.5202745299946649E-12</v>
      </c>
      <c r="O44" s="13">
        <f>1 - CUSTOS!$M$30</f>
        <v>1</v>
      </c>
      <c r="P44" s="13">
        <f>1 - CUSTOS!$M$30</f>
        <v>1</v>
      </c>
      <c r="Q44" s="13">
        <f>1*(1 - CUSTOS!$M$30)</f>
        <v>1</v>
      </c>
      <c r="R44" s="13">
        <f>1 - CUSTOS!$M$30</f>
        <v>1</v>
      </c>
      <c r="S44" s="13">
        <f>1 - CUSTOS!$M$30</f>
        <v>1</v>
      </c>
      <c r="T44" s="13"/>
      <c r="U44" s="13">
        <f>TRANSICAO!$U$44*CUSTOS!$T$3</f>
        <v>0</v>
      </c>
      <c r="V44" s="13">
        <f>TRANSICAO!$V$44*CUSTOS!$T$3</f>
        <v>0</v>
      </c>
      <c r="W44" s="13">
        <f>TRANSICAO!$W$44*CUSTOS!$T$3</f>
        <v>0</v>
      </c>
      <c r="X44" s="13">
        <f>TRANSICAO!$X$44*CUSTOS!$T$3</f>
        <v>0</v>
      </c>
      <c r="Y44" s="13">
        <f>TRANSICAO!$Y$44*CUSTOS!$T$3</f>
        <v>99.397499999999994</v>
      </c>
      <c r="Z44" s="13">
        <f>TRANSICAO!$Z$44*CUSTOS!$T$3</f>
        <v>0</v>
      </c>
      <c r="AA44" s="13">
        <f>TRANSICAO!$AA$44*CUSTOS!$T$3</f>
        <v>0</v>
      </c>
      <c r="AB44" s="13">
        <f>TRANSICAO!$AB$44*CUSTOS!$T$3</f>
        <v>0</v>
      </c>
      <c r="AC44" s="13">
        <f>TRANSICAO!$AC$44*CUSTOS!$T$3</f>
        <v>200.1448</v>
      </c>
      <c r="AD44" s="13">
        <f>TRANSICAO!$AD$44*CUSTOS!$T$3</f>
        <v>0</v>
      </c>
      <c r="AE44" s="13">
        <v>0</v>
      </c>
      <c r="AF44" s="13">
        <v>0</v>
      </c>
      <c r="AG44" s="13"/>
      <c r="AH44" s="13">
        <f>(1 - CUSTOS!$M$30)*24.8138</f>
        <v>24.813800000000001</v>
      </c>
      <c r="AI44" s="13">
        <f>(1 - CUSTOS!$M$30)*24.8138</f>
        <v>24.813800000000001</v>
      </c>
      <c r="AJ44" s="13">
        <f ca="1">$N$64*(1-CUSTOS!$M$30)</f>
        <v>0</v>
      </c>
      <c r="AK44" s="13">
        <f t="shared" ca="1" si="0"/>
        <v>0</v>
      </c>
      <c r="AL44" s="13"/>
      <c r="AM44" s="13"/>
      <c r="AP44" s="13">
        <f>IF((1 - CUSTOS!$M$30)&lt;&gt;0,1/(1 - CUSTOS!$M$30),1)</f>
        <v>1</v>
      </c>
    </row>
    <row r="45" spans="1:42" ht="11.25" customHeight="1" x14ac:dyDescent="0.3">
      <c r="A45" s="91" t="s">
        <v>31</v>
      </c>
      <c r="B45" s="91" t="s">
        <v>82</v>
      </c>
      <c r="C45" s="91" t="s">
        <v>25</v>
      </c>
      <c r="D45" s="91" t="s">
        <v>25</v>
      </c>
      <c r="E45" s="91" t="s">
        <v>25</v>
      </c>
      <c r="F45" s="91" t="s">
        <v>25</v>
      </c>
      <c r="G45" s="18" t="s">
        <v>69</v>
      </c>
      <c r="H45" s="18" t="s">
        <v>68</v>
      </c>
      <c r="I45" s="18">
        <f>'MERCADO TUSD'!$U$42</f>
        <v>0</v>
      </c>
      <c r="J45" s="15"/>
      <c r="L45" s="13">
        <f>1*(1 - CUSTOS!$M$31)</f>
        <v>1</v>
      </c>
      <c r="M4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0.85755299946651231</v>
      </c>
      <c r="N45" s="13">
        <f ca="1">(+M45+O45+R45+U45+V45+W45+X45+Y45+Z45+AA45+AC45+AH45+AI45+AJ45+AK45)*CUSTOS!$M$5</f>
        <v>1.0859916529994663E-11</v>
      </c>
      <c r="O45" s="13">
        <f>1 - CUSTOS!$M$31</f>
        <v>1</v>
      </c>
      <c r="P45" s="13">
        <f>1 - CUSTOS!$M$31</f>
        <v>1</v>
      </c>
      <c r="Q45" s="13">
        <f>1*(1 - CUSTOS!$M$31)</f>
        <v>1</v>
      </c>
      <c r="R45" s="13">
        <f>1 - CUSTOS!$M$31</f>
        <v>1</v>
      </c>
      <c r="S45" s="13">
        <f>1 - CUSTOS!$M$31</f>
        <v>1</v>
      </c>
      <c r="T45" s="13"/>
      <c r="U45" s="13">
        <f>TRANSICAO!$U$45*CUSTOS!$T$3</f>
        <v>0</v>
      </c>
      <c r="V45" s="13">
        <f>TRANSICAO!$V$45*CUSTOS!$T$3</f>
        <v>0</v>
      </c>
      <c r="W45" s="13">
        <f>TRANSICAO!$W$45*CUSTOS!$T$3</f>
        <v>0</v>
      </c>
      <c r="X45" s="13">
        <f>TRANSICAO!$X$45*CUSTOS!$T$3</f>
        <v>0</v>
      </c>
      <c r="Y45" s="13">
        <f>TRANSICAO!$Y$45*CUSTOS!$T$3</f>
        <v>343.00709999999998</v>
      </c>
      <c r="Z45" s="13">
        <f>TRANSICAO!$Z$45*CUSTOS!$T$3</f>
        <v>0</v>
      </c>
      <c r="AA45" s="13">
        <f>TRANSICAO!$AA$45*CUSTOS!$T$3</f>
        <v>0</v>
      </c>
      <c r="AB45" s="13">
        <f>TRANSICAO!$AB$45*CUSTOS!$T$3</f>
        <v>0</v>
      </c>
      <c r="AC45" s="13">
        <f>TRANSICAO!$AC$45*CUSTOS!$T$3</f>
        <v>690.49940000000004</v>
      </c>
      <c r="AD45" s="13">
        <f>TRANSICAO!$AD$45*CUSTOS!$T$3</f>
        <v>0</v>
      </c>
      <c r="AE45" s="13">
        <v>0</v>
      </c>
      <c r="AF45" s="13">
        <v>0</v>
      </c>
      <c r="AG45" s="13"/>
      <c r="AH45" s="13">
        <f>(1 - CUSTOS!$M$31)*24.8138</f>
        <v>24.813800000000001</v>
      </c>
      <c r="AI45" s="13">
        <f>(1 - CUSTOS!$M$31)*24.8138</f>
        <v>24.813800000000001</v>
      </c>
      <c r="AJ45" s="13">
        <f ca="1">$N$64*(1-CUSTOS!$M$31)</f>
        <v>0</v>
      </c>
      <c r="AK45" s="13">
        <f t="shared" ca="1" si="0"/>
        <v>0</v>
      </c>
      <c r="AL45" s="13"/>
      <c r="AM45" s="13"/>
      <c r="AP45" s="13">
        <f>IF((1 - CUSTOS!$M$31)&lt;&gt;0,1/(1 - CUSTOS!$M$31),1)</f>
        <v>1</v>
      </c>
    </row>
    <row r="46" spans="1:42" ht="11.25" customHeight="1" x14ac:dyDescent="0.3">
      <c r="A46" s="91"/>
      <c r="B46" s="91"/>
      <c r="C46" s="91"/>
      <c r="D46" s="91"/>
      <c r="E46" s="91"/>
      <c r="F46" s="91"/>
      <c r="G46" s="18" t="s">
        <v>80</v>
      </c>
      <c r="H46" s="18" t="s">
        <v>68</v>
      </c>
      <c r="I46" s="18">
        <f>'MERCADO TUSD'!$U$43</f>
        <v>0</v>
      </c>
      <c r="J46" s="15"/>
      <c r="L46" s="13">
        <f>1*(1 - CUSTOS!$M$31)</f>
        <v>1</v>
      </c>
      <c r="M4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0.85755299946651231</v>
      </c>
      <c r="N46" s="13">
        <f ca="1">(+M46+O46+R46+U46+V46+W46+X46+Y46+Z46+AA46+AC46+AH46+AI46+AJ46+AK46)*CUSTOS!$M$5</f>
        <v>6.7254975299946661E-12</v>
      </c>
      <c r="O46" s="13">
        <f>1 - CUSTOS!$M$31</f>
        <v>1</v>
      </c>
      <c r="P46" s="13">
        <f>1 - CUSTOS!$M$31</f>
        <v>1</v>
      </c>
      <c r="Q46" s="13">
        <f>1*(1 - CUSTOS!$M$31)</f>
        <v>1</v>
      </c>
      <c r="R46" s="13">
        <f>1 - CUSTOS!$M$31</f>
        <v>1</v>
      </c>
      <c r="S46" s="13">
        <f>1 - CUSTOS!$M$31</f>
        <v>1</v>
      </c>
      <c r="T46" s="13"/>
      <c r="U46" s="13">
        <f>TRANSICAO!$U$46*CUSTOS!$T$3</f>
        <v>0</v>
      </c>
      <c r="V46" s="13">
        <f>TRANSICAO!$V$46*CUSTOS!$T$3</f>
        <v>0</v>
      </c>
      <c r="W46" s="13">
        <f>TRANSICAO!$W$46*CUSTOS!$T$3</f>
        <v>0</v>
      </c>
      <c r="X46" s="13">
        <f>TRANSICAO!$X$46*CUSTOS!$T$3</f>
        <v>0</v>
      </c>
      <c r="Y46" s="13">
        <f>TRANSICAO!$Y$46*CUSTOS!$T$3</f>
        <v>205.76499999999999</v>
      </c>
      <c r="Z46" s="13">
        <f>TRANSICAO!$Z$46*CUSTOS!$T$3</f>
        <v>0</v>
      </c>
      <c r="AA46" s="13">
        <f>TRANSICAO!$AA$46*CUSTOS!$T$3</f>
        <v>0</v>
      </c>
      <c r="AB46" s="13">
        <f>TRANSICAO!$AB$46*CUSTOS!$T$3</f>
        <v>0</v>
      </c>
      <c r="AC46" s="13">
        <f>TRANSICAO!$AC$46*CUSTOS!$T$3</f>
        <v>414.2996</v>
      </c>
      <c r="AD46" s="13">
        <f>TRANSICAO!$AD$46*CUSTOS!$T$3</f>
        <v>0</v>
      </c>
      <c r="AE46" s="13">
        <v>0</v>
      </c>
      <c r="AF46" s="13">
        <v>0</v>
      </c>
      <c r="AG46" s="13"/>
      <c r="AH46" s="13">
        <f>(1 - CUSTOS!$M$31)*24.8138</f>
        <v>24.813800000000001</v>
      </c>
      <c r="AI46" s="13">
        <f>(1 - CUSTOS!$M$31)*24.8138</f>
        <v>24.813800000000001</v>
      </c>
      <c r="AJ46" s="13">
        <f ca="1">$N$64*(1-CUSTOS!$M$31)</f>
        <v>0</v>
      </c>
      <c r="AK46" s="13">
        <f t="shared" ca="1" si="0"/>
        <v>0</v>
      </c>
      <c r="AL46" s="13"/>
      <c r="AM46" s="13"/>
      <c r="AP46" s="13">
        <f>IF((1 - CUSTOS!$M$31)&lt;&gt;0,1/(1 - CUSTOS!$M$31),1)</f>
        <v>1</v>
      </c>
    </row>
    <row r="47" spans="1:42" ht="11.25" customHeight="1" x14ac:dyDescent="0.3">
      <c r="A47" s="91"/>
      <c r="B47" s="91"/>
      <c r="C47" s="91"/>
      <c r="D47" s="91"/>
      <c r="E47" s="91"/>
      <c r="F47" s="91"/>
      <c r="G47" s="18" t="s">
        <v>70</v>
      </c>
      <c r="H47" s="18" t="s">
        <v>68</v>
      </c>
      <c r="I47" s="18">
        <f>'MERCADO TUSD'!$U$44</f>
        <v>0</v>
      </c>
      <c r="J47" s="15"/>
      <c r="L47" s="13">
        <f>1*(1 - CUSTOS!$M$31)</f>
        <v>1</v>
      </c>
      <c r="M4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0.85755299946651231</v>
      </c>
      <c r="N47" s="13">
        <f ca="1">(+M47+O47+R47+U47+V47+W47+X47+Y47+Z47+AA47+AC47+AH47+AI47+AJ47+AK47)*CUSTOS!$M$5</f>
        <v>2.5915705299946655E-12</v>
      </c>
      <c r="O47" s="13">
        <f>1 - CUSTOS!$M$31</f>
        <v>1</v>
      </c>
      <c r="P47" s="13">
        <f>1 - CUSTOS!$M$31</f>
        <v>1</v>
      </c>
      <c r="Q47" s="13">
        <f>1*(1 - CUSTOS!$M$31)</f>
        <v>1</v>
      </c>
      <c r="R47" s="13">
        <f>1 - CUSTOS!$M$31</f>
        <v>1</v>
      </c>
      <c r="S47" s="13">
        <f>1 - CUSTOS!$M$31</f>
        <v>1</v>
      </c>
      <c r="T47" s="13"/>
      <c r="U47" s="13">
        <f>TRANSICAO!$U$47*CUSTOS!$T$3</f>
        <v>0</v>
      </c>
      <c r="V47" s="13">
        <f>TRANSICAO!$V$47*CUSTOS!$T$3</f>
        <v>0</v>
      </c>
      <c r="W47" s="13">
        <f>TRANSICAO!$W$47*CUSTOS!$T$3</f>
        <v>0</v>
      </c>
      <c r="X47" s="13">
        <f>TRANSICAO!$X$47*CUSTOS!$T$3</f>
        <v>0</v>
      </c>
      <c r="Y47" s="13">
        <f>TRANSICAO!$Y$47*CUSTOS!$T$3</f>
        <v>68.571899999999999</v>
      </c>
      <c r="Z47" s="13">
        <f>TRANSICAO!$Z$47*CUSTOS!$T$3</f>
        <v>0</v>
      </c>
      <c r="AA47" s="13">
        <f>TRANSICAO!$AA$47*CUSTOS!$T$3</f>
        <v>0</v>
      </c>
      <c r="AB47" s="13">
        <f>TRANSICAO!$AB$47*CUSTOS!$T$3</f>
        <v>0</v>
      </c>
      <c r="AC47" s="13">
        <f>TRANSICAO!$AC$47*CUSTOS!$T$3</f>
        <v>138.1</v>
      </c>
      <c r="AD47" s="13">
        <f>TRANSICAO!$AD$47*CUSTOS!$T$3</f>
        <v>0</v>
      </c>
      <c r="AE47" s="13">
        <v>0</v>
      </c>
      <c r="AF47" s="13">
        <v>0</v>
      </c>
      <c r="AG47" s="13"/>
      <c r="AH47" s="13">
        <f>(1 - CUSTOS!$M$31)*24.8138</f>
        <v>24.813800000000001</v>
      </c>
      <c r="AI47" s="13">
        <f>(1 - CUSTOS!$M$31)*24.8138</f>
        <v>24.813800000000001</v>
      </c>
      <c r="AJ47" s="13">
        <f ca="1">$N$64*(1-CUSTOS!$M$31)</f>
        <v>0</v>
      </c>
      <c r="AK47" s="13">
        <f t="shared" ca="1" si="0"/>
        <v>0</v>
      </c>
      <c r="AL47" s="13"/>
      <c r="AM47" s="13"/>
      <c r="AP47" s="13">
        <f>IF((1 - CUSTOS!$M$31)&lt;&gt;0,1/(1 - CUSTOS!$M$31),1)</f>
        <v>1</v>
      </c>
    </row>
    <row r="48" spans="1:42" ht="11.25" customHeight="1" x14ac:dyDescent="0.3">
      <c r="A48" s="91"/>
      <c r="B48" s="17" t="s">
        <v>23</v>
      </c>
      <c r="C48" s="17" t="s">
        <v>25</v>
      </c>
      <c r="D48" s="17" t="s">
        <v>25</v>
      </c>
      <c r="E48" s="17" t="s">
        <v>25</v>
      </c>
      <c r="F48" s="17" t="s">
        <v>25</v>
      </c>
      <c r="G48" s="18" t="s">
        <v>74</v>
      </c>
      <c r="H48" s="18" t="s">
        <v>68</v>
      </c>
      <c r="I48" s="18">
        <f>'MERCADO TUSD'!$U$45</f>
        <v>321.71000000000004</v>
      </c>
      <c r="J48" s="15"/>
      <c r="L48" s="13">
        <f>1*(1 - CUSTOS!$M$31)</f>
        <v>1</v>
      </c>
      <c r="M4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0.85755299946651231</v>
      </c>
      <c r="N48" s="13">
        <f ca="1">(+M48+O48+R48+U48+V48+W48+X48+Y48+Z48+AA48+AC48+AH48+AI48+AJ48+AK48)*CUSTOS!$M$5</f>
        <v>3.5202745299946649E-12</v>
      </c>
      <c r="O48" s="13">
        <f>1 - CUSTOS!$M$31</f>
        <v>1</v>
      </c>
      <c r="P48" s="13">
        <f>1 - CUSTOS!$M$31</f>
        <v>1</v>
      </c>
      <c r="Q48" s="13">
        <f>1*(1 - CUSTOS!$M$31)</f>
        <v>1</v>
      </c>
      <c r="R48" s="13">
        <f>1 - CUSTOS!$M$31</f>
        <v>1</v>
      </c>
      <c r="S48" s="13">
        <f>1 - CUSTOS!$M$31</f>
        <v>1</v>
      </c>
      <c r="T48" s="13"/>
      <c r="U48" s="13">
        <f>TRANSICAO!$U$48*CUSTOS!$T$3</f>
        <v>0</v>
      </c>
      <c r="V48" s="13">
        <f>TRANSICAO!$V$48*CUSTOS!$T$3</f>
        <v>0</v>
      </c>
      <c r="W48" s="13">
        <f>TRANSICAO!$W$48*CUSTOS!$T$3</f>
        <v>0</v>
      </c>
      <c r="X48" s="13">
        <f>TRANSICAO!$X$48*CUSTOS!$T$3</f>
        <v>0</v>
      </c>
      <c r="Y48" s="13">
        <f>TRANSICAO!$Y$48*CUSTOS!$T$3</f>
        <v>99.397499999999994</v>
      </c>
      <c r="Z48" s="13">
        <f>TRANSICAO!$Z$48*CUSTOS!$T$3</f>
        <v>0</v>
      </c>
      <c r="AA48" s="13">
        <f>TRANSICAO!$AA$48*CUSTOS!$T$3</f>
        <v>0</v>
      </c>
      <c r="AB48" s="13">
        <f>TRANSICAO!$AB$48*CUSTOS!$T$3</f>
        <v>0</v>
      </c>
      <c r="AC48" s="13">
        <f>TRANSICAO!$AC$48*CUSTOS!$T$3</f>
        <v>200.1448</v>
      </c>
      <c r="AD48" s="13">
        <f>TRANSICAO!$AD$48*CUSTOS!$T$3</f>
        <v>0</v>
      </c>
      <c r="AE48" s="13">
        <v>0</v>
      </c>
      <c r="AF48" s="13">
        <v>0</v>
      </c>
      <c r="AG48" s="13"/>
      <c r="AH48" s="13">
        <f>(1 - CUSTOS!$M$31)*24.8138</f>
        <v>24.813800000000001</v>
      </c>
      <c r="AI48" s="13">
        <f>(1 - CUSTOS!$M$31)*24.8138</f>
        <v>24.813800000000001</v>
      </c>
      <c r="AJ48" s="13">
        <f ca="1">$N$64*(1-CUSTOS!$M$31)</f>
        <v>0</v>
      </c>
      <c r="AK48" s="13">
        <f t="shared" ca="1" si="0"/>
        <v>0</v>
      </c>
      <c r="AL48" s="13"/>
      <c r="AM48" s="13"/>
      <c r="AP48" s="13">
        <f>IF((1 - CUSTOS!$M$31)&lt;&gt;0,1/(1 - CUSTOS!$M$31),1)</f>
        <v>1</v>
      </c>
    </row>
    <row r="49" spans="1:42" ht="11.25" customHeight="1" x14ac:dyDescent="0.3">
      <c r="A49" s="91"/>
      <c r="B49" s="17" t="s">
        <v>84</v>
      </c>
      <c r="C49" s="17" t="s">
        <v>25</v>
      </c>
      <c r="D49" s="17" t="s">
        <v>25</v>
      </c>
      <c r="E49" s="17" t="s">
        <v>25</v>
      </c>
      <c r="F49" s="17" t="s">
        <v>25</v>
      </c>
      <c r="G49" s="18" t="s">
        <v>74</v>
      </c>
      <c r="H49" s="18" t="s">
        <v>68</v>
      </c>
      <c r="I49" s="18">
        <f>'MERCADO TUSD'!$U$46</f>
        <v>0</v>
      </c>
      <c r="J49" s="15"/>
      <c r="L49" s="13">
        <f>1*(1 - CUSTOS!$M$31)</f>
        <v>1</v>
      </c>
      <c r="M4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0.85755299946651231</v>
      </c>
      <c r="N49" s="13">
        <f ca="1">(+M49+O49+R49+U49+V49+W49+X49+Y49+Z49+AA49+AC49+AH49+AI49+AJ49+AK49)*CUSTOS!$M$5</f>
        <v>3.5202745299946649E-12</v>
      </c>
      <c r="O49" s="13">
        <f>1 - CUSTOS!$M$31</f>
        <v>1</v>
      </c>
      <c r="P49" s="13">
        <f>1 - CUSTOS!$M$31</f>
        <v>1</v>
      </c>
      <c r="Q49" s="13">
        <f>1*(1 - CUSTOS!$M$31)</f>
        <v>1</v>
      </c>
      <c r="R49" s="13">
        <f>1 - CUSTOS!$M$31</f>
        <v>1</v>
      </c>
      <c r="S49" s="13">
        <f>1 - CUSTOS!$M$31</f>
        <v>1</v>
      </c>
      <c r="T49" s="13"/>
      <c r="U49" s="13">
        <f>TRANSICAO!$U$49*CUSTOS!$T$3</f>
        <v>0</v>
      </c>
      <c r="V49" s="13">
        <f>TRANSICAO!$V$49*CUSTOS!$T$3</f>
        <v>0</v>
      </c>
      <c r="W49" s="13">
        <f>TRANSICAO!$W$49*CUSTOS!$T$3</f>
        <v>0</v>
      </c>
      <c r="X49" s="13">
        <f>TRANSICAO!$X$49*CUSTOS!$T$3</f>
        <v>0</v>
      </c>
      <c r="Y49" s="13">
        <f>TRANSICAO!$Y$49*CUSTOS!$T$3</f>
        <v>99.397499999999994</v>
      </c>
      <c r="Z49" s="13">
        <f>TRANSICAO!$Z$49*CUSTOS!$T$3</f>
        <v>0</v>
      </c>
      <c r="AA49" s="13">
        <f>TRANSICAO!$AA$49*CUSTOS!$T$3</f>
        <v>0</v>
      </c>
      <c r="AB49" s="13">
        <f>TRANSICAO!$AB$49*CUSTOS!$T$3</f>
        <v>0</v>
      </c>
      <c r="AC49" s="13">
        <f>TRANSICAO!$AC$49*CUSTOS!$T$3</f>
        <v>200.1448</v>
      </c>
      <c r="AD49" s="13">
        <f>TRANSICAO!$AD$49*CUSTOS!$T$3</f>
        <v>0</v>
      </c>
      <c r="AE49" s="13">
        <v>0</v>
      </c>
      <c r="AF49" s="13">
        <v>0</v>
      </c>
      <c r="AG49" s="13"/>
      <c r="AH49" s="13">
        <f>(1 - CUSTOS!$M$31)*24.8138</f>
        <v>24.813800000000001</v>
      </c>
      <c r="AI49" s="13">
        <f>(1 - CUSTOS!$M$31)*24.8138</f>
        <v>24.813800000000001</v>
      </c>
      <c r="AJ49" s="13">
        <f ca="1">$N$64*(1-CUSTOS!$M$31)</f>
        <v>0</v>
      </c>
      <c r="AK49" s="13">
        <f t="shared" ca="1" si="0"/>
        <v>0</v>
      </c>
      <c r="AL49" s="13"/>
      <c r="AM49" s="13"/>
      <c r="AP49" s="13">
        <f>IF((1 - CUSTOS!$M$31)&lt;&gt;0,1/(1 - CUSTOS!$M$31),1)</f>
        <v>1</v>
      </c>
    </row>
    <row r="50" spans="1:42" ht="11.25" customHeight="1" x14ac:dyDescent="0.3">
      <c r="A50" s="91" t="s">
        <v>43</v>
      </c>
      <c r="B50" s="91" t="s">
        <v>23</v>
      </c>
      <c r="C50" s="91" t="s">
        <v>44</v>
      </c>
      <c r="D50" s="17" t="s">
        <v>45</v>
      </c>
      <c r="E50" s="17" t="s">
        <v>25</v>
      </c>
      <c r="F50" s="17" t="s">
        <v>25</v>
      </c>
      <c r="G50" s="18" t="s">
        <v>74</v>
      </c>
      <c r="H50" s="18" t="s">
        <v>68</v>
      </c>
      <c r="I50" s="18">
        <f>'MERCADO TUSD'!$U$47</f>
        <v>249.66400000000002</v>
      </c>
      <c r="J50" s="15"/>
      <c r="L50" s="13">
        <f>1*(1 - CUSTOS!$M$32)</f>
        <v>0.55000000000000004</v>
      </c>
      <c r="M5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CUSTOS!$M$32)</f>
        <v>0.47165414970658182</v>
      </c>
      <c r="N50" s="13">
        <f ca="1">(+M50+O50+R50+U50+V50+W50+X50+Y50+Z50+AA50+AC50+AH50+AI50+AJ50+AK50)*CUSTOS!$M$5</f>
        <v>1.9361509914970661E-12</v>
      </c>
      <c r="O50" s="13">
        <f>1 - CUSTOS!$M$32</f>
        <v>0.55000000000000004</v>
      </c>
      <c r="P50" s="13">
        <f>1 - CUSTOS!$M$32</f>
        <v>0.55000000000000004</v>
      </c>
      <c r="Q50" s="13">
        <f>1*(1 - CUSTOS!$M$32)</f>
        <v>0.55000000000000004</v>
      </c>
      <c r="R50" s="13">
        <f>1 - CUSTOS!$M$32</f>
        <v>0.55000000000000004</v>
      </c>
      <c r="S50" s="13">
        <f>1 - CUSTOS!$M$32</f>
        <v>0.55000000000000004</v>
      </c>
      <c r="T50" s="13"/>
      <c r="U50" s="13">
        <f>TRANSICAO!$U$50*CUSTOS!$T$3</f>
        <v>0</v>
      </c>
      <c r="V50" s="13">
        <f>TRANSICAO!$V$50*CUSTOS!$T$3</f>
        <v>0</v>
      </c>
      <c r="W50" s="13">
        <f>TRANSICAO!$W$50*CUSTOS!$T$3</f>
        <v>0</v>
      </c>
      <c r="X50" s="13">
        <f>TRANSICAO!$X$50*CUSTOS!$T$3</f>
        <v>0</v>
      </c>
      <c r="Y50" s="13">
        <f>TRANSICAO!$Y$50*CUSTOS!$T$3</f>
        <v>54.668624999999999</v>
      </c>
      <c r="Z50" s="13">
        <f>TRANSICAO!$Z$50*CUSTOS!$T$3</f>
        <v>0</v>
      </c>
      <c r="AA50" s="13">
        <f>TRANSICAO!$AA$50*CUSTOS!$T$3</f>
        <v>0</v>
      </c>
      <c r="AB50" s="13">
        <f>TRANSICAO!$AB$50*CUSTOS!$T$3</f>
        <v>0</v>
      </c>
      <c r="AC50" s="13">
        <f>TRANSICAO!$AC$50*CUSTOS!$T$3</f>
        <v>110.07964000000001</v>
      </c>
      <c r="AD50" s="13">
        <f>TRANSICAO!$AD$50*CUSTOS!$T$3</f>
        <v>0</v>
      </c>
      <c r="AE50" s="13">
        <v>0</v>
      </c>
      <c r="AF50" s="13">
        <v>0</v>
      </c>
      <c r="AG50" s="13"/>
      <c r="AH50" s="13">
        <f>(1 - CUSTOS!$M$32)*24.8138</f>
        <v>13.647590000000001</v>
      </c>
      <c r="AI50" s="13">
        <f>(1 - CUSTOS!$M$32)*24.8138</f>
        <v>13.647590000000001</v>
      </c>
      <c r="AJ50" s="13">
        <f ca="1">$N$64*(1-CUSTOS!$M$32)</f>
        <v>0</v>
      </c>
      <c r="AK50" s="13">
        <f t="shared" ca="1" si="0"/>
        <v>0</v>
      </c>
      <c r="AL50" s="13"/>
      <c r="AM50" s="13"/>
      <c r="AP50" s="13">
        <f>IF((1 - CUSTOS!$M$32)&lt;&gt;0,1/(1 - CUSTOS!$M$32),1)</f>
        <v>1.8181818181818181</v>
      </c>
    </row>
    <row r="51" spans="1:42" ht="11.25" customHeight="1" x14ac:dyDescent="0.3">
      <c r="A51" s="91"/>
      <c r="B51" s="91"/>
      <c r="C51" s="91"/>
      <c r="D51" s="18" t="s">
        <v>87</v>
      </c>
      <c r="E51" s="18" t="s">
        <v>25</v>
      </c>
      <c r="F51" s="18" t="s">
        <v>25</v>
      </c>
      <c r="G51" s="18" t="s">
        <v>74</v>
      </c>
      <c r="H51" s="18" t="s">
        <v>68</v>
      </c>
      <c r="I51" s="18">
        <f>'MERCADO TUSD'!$U$48</f>
        <v>0</v>
      </c>
      <c r="J51" s="15"/>
      <c r="L51" s="13">
        <f>1*(1 - CUSTOS!$M$33)</f>
        <v>0.6</v>
      </c>
      <c r="M5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CUSTOS!$M$33)</f>
        <v>0.51453179967990736</v>
      </c>
      <c r="N51" s="13">
        <f ca="1">(+M51+O51+R51+U51+V51+W51+X51+Y51+Z51+AA51+AC51+AH51+AI51+AJ51+AK51)*CUSTOS!$M$5</f>
        <v>2.112164717996799E-12</v>
      </c>
      <c r="O51" s="13">
        <f>1 - CUSTOS!$M$33</f>
        <v>0.6</v>
      </c>
      <c r="P51" s="13">
        <f>1 - CUSTOS!$M$33</f>
        <v>0.6</v>
      </c>
      <c r="Q51" s="13">
        <f>1*(1 - CUSTOS!$M$33)</f>
        <v>0.6</v>
      </c>
      <c r="R51" s="13">
        <f>1 - CUSTOS!$M$33</f>
        <v>0.6</v>
      </c>
      <c r="S51" s="13">
        <f>1 - CUSTOS!$M$33</f>
        <v>0.6</v>
      </c>
      <c r="T51" s="13"/>
      <c r="U51" s="13">
        <f>TRANSICAO!$U$51*CUSTOS!$T$3</f>
        <v>0</v>
      </c>
      <c r="V51" s="13">
        <f>TRANSICAO!$V$51*CUSTOS!$T$3</f>
        <v>0</v>
      </c>
      <c r="W51" s="13">
        <f>TRANSICAO!$W$51*CUSTOS!$T$3</f>
        <v>0</v>
      </c>
      <c r="X51" s="13">
        <f>TRANSICAO!$X$51*CUSTOS!$T$3</f>
        <v>0</v>
      </c>
      <c r="Y51" s="13">
        <f>TRANSICAO!$Y$51*CUSTOS!$T$3</f>
        <v>59.638499999999993</v>
      </c>
      <c r="Z51" s="13">
        <f>TRANSICAO!$Z$51*CUSTOS!$T$3</f>
        <v>0</v>
      </c>
      <c r="AA51" s="13">
        <f>TRANSICAO!$AA$51*CUSTOS!$T$3</f>
        <v>0</v>
      </c>
      <c r="AB51" s="13">
        <f>TRANSICAO!$AB$51*CUSTOS!$T$3</f>
        <v>0</v>
      </c>
      <c r="AC51" s="13">
        <f>TRANSICAO!$AC$51*CUSTOS!$T$3</f>
        <v>120.08687999999999</v>
      </c>
      <c r="AD51" s="13">
        <f>TRANSICAO!$AD$51*CUSTOS!$T$3</f>
        <v>0</v>
      </c>
      <c r="AE51" s="13">
        <v>0</v>
      </c>
      <c r="AF51" s="13">
        <v>0</v>
      </c>
      <c r="AG51" s="13"/>
      <c r="AH51" s="13">
        <f>(1 - CUSTOS!$M$33)*24.8138</f>
        <v>14.88828</v>
      </c>
      <c r="AI51" s="13">
        <f>(1 - CUSTOS!$M$33)*24.8138</f>
        <v>14.88828</v>
      </c>
      <c r="AJ51" s="13">
        <f ca="1">$N$64*(1-CUSTOS!$M$33)</f>
        <v>0</v>
      </c>
      <c r="AK51" s="13">
        <f t="shared" ca="1" si="0"/>
        <v>0</v>
      </c>
      <c r="AL51" s="13"/>
      <c r="AM51" s="13"/>
      <c r="AP51" s="13">
        <f>IF((1 - CUSTOS!$M$33)&lt;&gt;0,1/(1 - CUSTOS!$M$33),1)</f>
        <v>1.6666666666666667</v>
      </c>
    </row>
    <row r="53" spans="1:42" ht="11.25" customHeight="1" x14ac:dyDescent="0.3">
      <c r="K53" s="16" t="s">
        <v>471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42" ht="11.25" customHeight="1" x14ac:dyDescent="0.3">
      <c r="K54" s="16" t="s">
        <v>472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42" ht="11.25" customHeight="1" x14ac:dyDescent="0.3">
      <c r="K55" s="16" t="s">
        <v>473</v>
      </c>
      <c r="L55" s="13">
        <f>IF(ISERROR(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,0,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</f>
        <v>16082.777439999998</v>
      </c>
      <c r="M55" s="13">
        <f>IF(ISERROR(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,0,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</f>
        <v>12760.743046481823</v>
      </c>
      <c r="N55" s="13">
        <f ca="1">IF(ISERROR(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,0,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</f>
        <v>3.5650367210732618E-8</v>
      </c>
      <c r="O55" s="13">
        <f>IF(ISERROR(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,0,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</f>
        <v>17898.584200000001</v>
      </c>
      <c r="P55" s="13">
        <f>IF(ISERROR(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,0,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</f>
        <v>17883.995200000001</v>
      </c>
      <c r="Q55" s="13">
        <f>IF(ISERROR(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,0,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</f>
        <v>16082.777439999998</v>
      </c>
      <c r="R55" s="13">
        <f>IF(ISERROR(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,0,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</f>
        <v>17883.995200000001</v>
      </c>
      <c r="S55" s="13">
        <f>IF(ISERROR(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,0,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</f>
        <v>17898.584200000001</v>
      </c>
      <c r="T55" s="13"/>
      <c r="U55" s="13">
        <f>IF(ISERROR(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,0,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</f>
        <v>0</v>
      </c>
      <c r="V55" s="13">
        <f>IF(ISERROR(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,0,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</f>
        <v>0</v>
      </c>
      <c r="W55" s="13">
        <f>IF(ISERROR(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,0,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</f>
        <v>0</v>
      </c>
      <c r="X55" s="13">
        <f>IF(ISERROR(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,0,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</f>
        <v>0</v>
      </c>
      <c r="Y55" s="13">
        <f>IF(ISERROR(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,0,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</f>
        <v>1876418.8440026001</v>
      </c>
      <c r="Z55" s="13">
        <f>IF(ISERROR(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,0,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</f>
        <v>0</v>
      </c>
      <c r="AA55" s="13">
        <f>IF(ISERROR(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,0,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</f>
        <v>0</v>
      </c>
      <c r="AB55" s="13"/>
      <c r="AC55" s="13">
        <f>IF(ISERROR(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,0,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</f>
        <v>2978237.3409905508</v>
      </c>
      <c r="AD55" s="13"/>
      <c r="AE55" s="13">
        <f>IF(ISERROR(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,0,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</f>
        <v>0</v>
      </c>
      <c r="AF55" s="13">
        <f>IF(ISERROR(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,0,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</f>
        <v>0</v>
      </c>
      <c r="AG55" s="13"/>
      <c r="AH55" s="13">
        <f>IF(ISERROR(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,0,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</f>
        <v>272641.32297566003</v>
      </c>
      <c r="AI55" s="13">
        <f>IF(ISERROR(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,0,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</f>
        <v>193469.65175816003</v>
      </c>
      <c r="AJ55" s="13">
        <f ca="1">IF(ISERROR(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,0,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</f>
        <v>0</v>
      </c>
      <c r="AK55" s="13">
        <f ca="1">IF(ISERROR(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,0,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</f>
        <v>0</v>
      </c>
      <c r="AL55" s="13"/>
      <c r="AM55" s="13"/>
    </row>
    <row r="56" spans="1:42" ht="11.25" customHeight="1" x14ac:dyDescent="0.3">
      <c r="K56" s="16" t="s">
        <v>409</v>
      </c>
      <c r="L56" s="13">
        <f>CUSTOS!$D$2</f>
        <v>0</v>
      </c>
      <c r="M56" s="13">
        <f>CUSTOS!$D$3</f>
        <v>12857.088096908077</v>
      </c>
      <c r="N56" s="13">
        <f>CUSTOS!$D$4</f>
        <v>0</v>
      </c>
      <c r="O56" s="13">
        <f>CUSTOS!$D$5</f>
        <v>0</v>
      </c>
      <c r="P56" s="13">
        <f>CUSTOS!$D$6</f>
        <v>0</v>
      </c>
      <c r="Q56" s="13">
        <f>CUSTOS!$D$7</f>
        <v>1447102.0752100002</v>
      </c>
      <c r="R56" s="13">
        <f>CUSTOS!$D$8</f>
        <v>254288.34072000007</v>
      </c>
      <c r="S56" s="13">
        <f>CUSTOS!$D$9</f>
        <v>0</v>
      </c>
      <c r="T56" s="13">
        <f>CUSTOS!$D$10</f>
        <v>1714247.5040269082</v>
      </c>
      <c r="U56" s="13">
        <f>CUSTOS!$D$11</f>
        <v>0</v>
      </c>
      <c r="V56" s="13">
        <f>IF(SUM(V53:V55)&lt;&gt;0,CUSTOS!$D$12+CUSTOS!$D$16+CUSTOS!$D$17-'TR TUSD'!$Z$54-'TR TUSD'!$AA$54,0)</f>
        <v>0</v>
      </c>
      <c r="W56" s="13">
        <f>CUSTOS!$D$13</f>
        <v>0</v>
      </c>
      <c r="X56" s="13">
        <f>CUSTOS!$D$14</f>
        <v>0</v>
      </c>
      <c r="Y56" s="13">
        <f>IF(SUM(V53:V55)=0,CUSTOS!$D$15+CUSTOS!$D$16+CUSTOS!$D$17-'TR TUSD'!$Z$54-'TR TUSD'!$AA$54,CUSTOS!$D$15)</f>
        <v>1881904.5259199997</v>
      </c>
      <c r="Z56" s="13">
        <f>Z54</f>
        <v>0</v>
      </c>
      <c r="AA56" s="13">
        <f>AA54</f>
        <v>0</v>
      </c>
      <c r="AB56" s="13">
        <f>CUSTOS!$D$18</f>
        <v>1881904.5259199997</v>
      </c>
      <c r="AC56" s="13">
        <f>CUSTOS!$D$19</f>
        <v>2890068.7</v>
      </c>
      <c r="AD56" s="13">
        <f>CUSTOS!$D$20</f>
        <v>2890068.7</v>
      </c>
      <c r="AE56" s="13">
        <f>CUSTOS!$D$21</f>
        <v>0</v>
      </c>
      <c r="AF56" s="13">
        <f>CUSTOS!$D$22</f>
        <v>0</v>
      </c>
      <c r="AG56" s="13">
        <f>CUSTOS!$D$23</f>
        <v>0</v>
      </c>
      <c r="AH56" s="13">
        <f>CUSTOS!$D$24</f>
        <v>185892.36805644623</v>
      </c>
      <c r="AI56" s="13">
        <f>CUSTOS!$D$25</f>
        <v>0</v>
      </c>
      <c r="AJ56" s="13">
        <f>CUSTOS!$D$26</f>
        <v>0</v>
      </c>
      <c r="AK56" s="13">
        <f>CUSTOS!$D$27</f>
        <v>0</v>
      </c>
      <c r="AL56" s="13">
        <f>CUSTOS!$D$28</f>
        <v>185892.36805644623</v>
      </c>
      <c r="AM56" s="13">
        <f>CUSTOS!$D$29</f>
        <v>6672113.0980033539</v>
      </c>
    </row>
    <row r="57" spans="1:42" ht="11.25" customHeight="1" x14ac:dyDescent="0.3">
      <c r="K57" s="16" t="s">
        <v>410</v>
      </c>
      <c r="L57" s="13">
        <f>CUSTOS!$E$2</f>
        <v>0</v>
      </c>
      <c r="M57" s="13">
        <f>CUSTOS!$E$3</f>
        <v>-1049.8958455291686</v>
      </c>
      <c r="N57" s="13">
        <f>CUSTOS!$E$4</f>
        <v>0</v>
      </c>
      <c r="O57" s="13">
        <f>CUSTOS!$E$5</f>
        <v>0</v>
      </c>
      <c r="P57" s="13">
        <f>CUSTOS!$E$6</f>
        <v>0</v>
      </c>
      <c r="Q57" s="13">
        <f>CUSTOS!$E$7</f>
        <v>-95422.930034866673</v>
      </c>
      <c r="R57" s="13">
        <f>CUSTOS!$E$8</f>
        <v>-17322.630753886519</v>
      </c>
      <c r="S57" s="13">
        <f>CUSTOS!$E$9</f>
        <v>0</v>
      </c>
      <c r="T57" s="13">
        <f>CUSTOS!$E$10</f>
        <v>-113795.45663428237</v>
      </c>
      <c r="U57" s="13">
        <f>CUSTOS!$E$11</f>
        <v>0</v>
      </c>
      <c r="V57" s="13">
        <f>CUSTOS!$E$12</f>
        <v>0</v>
      </c>
      <c r="W57" s="13">
        <f>CUSTOS!$E$13</f>
        <v>0</v>
      </c>
      <c r="X57" s="13">
        <f>CUSTOS!$E$14</f>
        <v>0</v>
      </c>
      <c r="Y57" s="13">
        <f>CUSTOS!$E$15</f>
        <v>31119.052103736372</v>
      </c>
      <c r="Z57" s="13">
        <f>CUSTOS!$E$16</f>
        <v>0</v>
      </c>
      <c r="AA57" s="13">
        <f>CUSTOS!$E$17</f>
        <v>0</v>
      </c>
      <c r="AB57" s="13">
        <f>CUSTOS!$E$18</f>
        <v>31119.052103736372</v>
      </c>
      <c r="AC57" s="13">
        <f>CUSTOS!$E$19</f>
        <v>-1494125.1525960967</v>
      </c>
      <c r="AD57" s="13">
        <f>CUSTOS!$E$20</f>
        <v>-1494125.1525960967</v>
      </c>
      <c r="AE57" s="13">
        <f>CUSTOS!$E$21</f>
        <v>0</v>
      </c>
      <c r="AF57" s="13">
        <f>CUSTOS!$E$22</f>
        <v>0</v>
      </c>
      <c r="AG57" s="13">
        <f>CUSTOS!$E$23</f>
        <v>0</v>
      </c>
      <c r="AH57" s="13">
        <f>CUSTOS!$E$24</f>
        <v>13331.837922066195</v>
      </c>
      <c r="AI57" s="13">
        <f>CUSTOS!$E$25</f>
        <v>0</v>
      </c>
      <c r="AJ57" s="13">
        <f>CUSTOS!$E$26</f>
        <v>0</v>
      </c>
      <c r="AK57" s="13">
        <f>CUSTOS!$E$27</f>
        <v>0</v>
      </c>
      <c r="AL57" s="13">
        <f>CUSTOS!$E$28</f>
        <v>13331.837922066195</v>
      </c>
      <c r="AM57" s="13">
        <f>CUSTOS!$E$29</f>
        <v>-1563469.7192045765</v>
      </c>
    </row>
    <row r="58" spans="1:42" ht="11.25" customHeight="1" x14ac:dyDescent="0.3">
      <c r="K58" s="16" t="s">
        <v>411</v>
      </c>
      <c r="L58" s="13">
        <f>CUSTOS!$F$2</f>
        <v>0</v>
      </c>
      <c r="M58" s="13">
        <f>CUSTOS!$F$3</f>
        <v>0</v>
      </c>
      <c r="N58" s="13">
        <f>CUSTOS!$F$4</f>
        <v>0</v>
      </c>
      <c r="O58" s="13">
        <f>CUSTOS!$F$5</f>
        <v>0</v>
      </c>
      <c r="P58" s="13">
        <f>CUSTOS!$F$6</f>
        <v>0</v>
      </c>
      <c r="Q58" s="13">
        <f>CUSTOS!$F$7</f>
        <v>0</v>
      </c>
      <c r="R58" s="13">
        <f>CUSTOS!$F$8</f>
        <v>0</v>
      </c>
      <c r="S58" s="13">
        <f>CUSTOS!$F$9</f>
        <v>0</v>
      </c>
      <c r="T58" s="13">
        <f>CUSTOS!$F$10</f>
        <v>0</v>
      </c>
      <c r="U58" s="13">
        <f>CUSTOS!$F$11</f>
        <v>0</v>
      </c>
      <c r="V58" s="13">
        <f>CUSTOS!$F$12</f>
        <v>0</v>
      </c>
      <c r="W58" s="13">
        <f>CUSTOS!$F$13</f>
        <v>0</v>
      </c>
      <c r="X58" s="13">
        <f>CUSTOS!$F$14</f>
        <v>0</v>
      </c>
      <c r="Y58" s="13">
        <f>CUSTOS!$F$15</f>
        <v>0</v>
      </c>
      <c r="Z58" s="13">
        <f>CUSTOS!$F$16</f>
        <v>0</v>
      </c>
      <c r="AA58" s="13">
        <f>CUSTOS!$F$17</f>
        <v>0</v>
      </c>
      <c r="AB58" s="13">
        <f>CUSTOS!$F$18</f>
        <v>0</v>
      </c>
      <c r="AC58" s="13">
        <f>CUSTOS!$F$19</f>
        <v>0</v>
      </c>
      <c r="AD58" s="13">
        <f>CUSTOS!$F$20</f>
        <v>0</v>
      </c>
      <c r="AE58" s="13">
        <f>CUSTOS!$F$21</f>
        <v>0</v>
      </c>
      <c r="AF58" s="13">
        <f>CUSTOS!$F$22</f>
        <v>0</v>
      </c>
      <c r="AG58" s="13">
        <f>CUSTOS!$F$23</f>
        <v>0</v>
      </c>
      <c r="AH58" s="13">
        <f>CUSTOS!$F$24</f>
        <v>0</v>
      </c>
      <c r="AI58" s="13">
        <f>CUSTOS!$F$25</f>
        <v>0</v>
      </c>
      <c r="AJ58" s="13">
        <f>CUSTOS!$F$26</f>
        <v>0</v>
      </c>
      <c r="AK58" s="13">
        <f>CUSTOS!$F$27</f>
        <v>0</v>
      </c>
      <c r="AL58" s="13">
        <f>CUSTOS!$F$28</f>
        <v>0</v>
      </c>
      <c r="AM58" s="13">
        <f>CUSTOS!$F$29</f>
        <v>0</v>
      </c>
    </row>
    <row r="59" spans="1:42" ht="11.25" customHeight="1" x14ac:dyDescent="0.3">
      <c r="K59" s="16" t="s">
        <v>474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/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/>
      <c r="AC59" s="13">
        <v>0</v>
      </c>
      <c r="AD59" s="13"/>
      <c r="AE59" s="13">
        <v>0</v>
      </c>
      <c r="AF59" s="13">
        <v>0</v>
      </c>
      <c r="AG59" s="13"/>
      <c r="AH59" s="13">
        <v>0</v>
      </c>
      <c r="AI59" s="13">
        <v>0</v>
      </c>
      <c r="AJ59" s="13">
        <v>0</v>
      </c>
      <c r="AK59" s="13">
        <v>0</v>
      </c>
      <c r="AL59" s="13"/>
      <c r="AM59" s="13"/>
    </row>
    <row r="60" spans="1:42" ht="11.25" customHeight="1" x14ac:dyDescent="0.3">
      <c r="K60" s="16" t="s">
        <v>475</v>
      </c>
      <c r="L60" s="13">
        <f t="shared" ref="L60:S60" si="1">IF((L55+L53)&lt;&gt;0,(L56-L54-L59)/(L55+L53),0)</f>
        <v>0</v>
      </c>
      <c r="M60" s="13">
        <f t="shared" si="1"/>
        <v>1.0075501128794233</v>
      </c>
      <c r="N60" s="13">
        <f t="shared" ca="1" si="1"/>
        <v>0</v>
      </c>
      <c r="O60" s="13">
        <f t="shared" si="1"/>
        <v>0</v>
      </c>
      <c r="P60" s="13">
        <f t="shared" si="1"/>
        <v>0</v>
      </c>
      <c r="Q60" s="13">
        <f t="shared" si="1"/>
        <v>89.978368513069483</v>
      </c>
      <c r="R60" s="13">
        <f t="shared" si="1"/>
        <v>14.218765878443092</v>
      </c>
      <c r="S60" s="13">
        <f t="shared" si="1"/>
        <v>0</v>
      </c>
      <c r="T60" s="13"/>
      <c r="U60" s="13">
        <f>IF(U55&lt;&gt;0,(U56-U54-U53-U59)/U55,0)</f>
        <v>0</v>
      </c>
      <c r="V60" s="13">
        <f>IF(V55&lt;&gt;0,(V56-V54-V53-V59)/V55,0)</f>
        <v>0</v>
      </c>
      <c r="W60" s="13">
        <f>IF(W55&lt;&gt;0,(W56-W54-W53-W59)/W55,0)</f>
        <v>0</v>
      </c>
      <c r="X60" s="13">
        <f>IF(X55&lt;&gt;0,(X56-X54-X53-X59)/X55,0)</f>
        <v>0</v>
      </c>
      <c r="Y60" s="13">
        <f>IF(Y55&lt;&gt;0,(Y56-Y54-Y53-Y59)/Y55,0)</f>
        <v>1.0029234847725672</v>
      </c>
      <c r="Z60" s="13"/>
      <c r="AA60" s="13"/>
      <c r="AB60" s="13"/>
      <c r="AC60" s="13">
        <f>IF(AC55&lt;&gt;0,(AC56-AC54-AC53-AC59)/AC55,0)</f>
        <v>0.97039569688518312</v>
      </c>
      <c r="AD60" s="13"/>
      <c r="AE60" s="13">
        <f>IF((AE55+AE53)&lt;&gt;0,(AE56-AE54-AE59)/(AE55+AE53),0)</f>
        <v>0</v>
      </c>
      <c r="AF60" s="13">
        <f>IF((AF55+AF53)&lt;&gt;0,(AF56-AF54-AF59)/(AF55+AF53),0)</f>
        <v>0</v>
      </c>
      <c r="AG60" s="13"/>
      <c r="AH60" s="13">
        <f>IF(AH55&lt;&gt;0,(AH56-AH54-AH53-AH59)/AH55,0)</f>
        <v>0.68182022456310376</v>
      </c>
      <c r="AI60" s="13">
        <f>IF(AI55&lt;&gt;0,(AI56-AI54-AI53-AI59)/AI55,0)</f>
        <v>0</v>
      </c>
      <c r="AJ60" s="13">
        <f ca="1">IF((AJ55+AJ53)&lt;&gt;0,(AJ56-AJ54-AJ59)/(AJ55+AJ53),0)</f>
        <v>0</v>
      </c>
      <c r="AK60" s="13">
        <f ca="1">IF((AK55+AK53)&lt;&gt;0,(AK56-AK54-AK59)/(AK55+AK53),0)</f>
        <v>0</v>
      </c>
      <c r="AL60" s="13"/>
      <c r="AM60" s="13"/>
    </row>
    <row r="62" spans="1:42" ht="11.25" customHeight="1" x14ac:dyDescent="0.3">
      <c r="K62" s="19" t="s">
        <v>479</v>
      </c>
      <c r="L62" s="19" t="s">
        <v>480</v>
      </c>
      <c r="M62" s="19" t="s">
        <v>481</v>
      </c>
      <c r="N62" s="19" t="s">
        <v>482</v>
      </c>
      <c r="O62" s="19" t="s">
        <v>483</v>
      </c>
      <c r="P62" s="19" t="s">
        <v>484</v>
      </c>
    </row>
    <row r="63" spans="1:42" ht="11.25" customHeight="1" x14ac:dyDescent="0.3">
      <c r="K63" s="18" t="s">
        <v>33</v>
      </c>
      <c r="L63" s="18">
        <f ca="1">+(+'TUSD BE'!$L$5+'TUSD BE'!$M$5+'TUSD BE'!$N$5+'TUSD BE'!$O$5+'TUSD BE'!$P$5+'TUSD BE'!$Q$5+'TUSD BE'!$R$5+'TUSD BE'!$S$5+'TUSD BE'!$U$5+'TUSD BE'!$V$5+'TUSD BE'!$W$5+'TUSD BE'!$X$5+'TUSD BE'!$Y$5+'TUSD BE'!$Z$5+'TUSD BE'!$AA$5+'TUSD BE'!$AC$5+'TUSD BE'!$AH$5+'TUSD BE'!$AI$5)*'TUSD BE'!$I$5+(+'TUSD BE'!$L$6+'TUSD BE'!$M$6+'TUSD BE'!$N$6+'TUSD BE'!$O$6+'TUSD BE'!$P$6+'TUSD BE'!$Q$6+'TUSD BE'!$R$6+'TUSD BE'!$S$6+'TUSD BE'!$U$6+'TUSD BE'!$V$6+'TUSD BE'!$W$6+'TUSD BE'!$X$6+'TUSD BE'!$Y$6+'TUSD BE'!$Z$6+'TUSD BE'!$AA$6+'TUSD BE'!$AC$6+'TUSD BE'!$AH$6+'TUSD BE'!$AI$6)*'TUSD BE'!$I$6+(+'TUSD BE'!$L$7+'TUSD BE'!$M$7+'TUSD BE'!$N$7+'TUSD BE'!$O$7+'TUSD BE'!$P$7+'TUSD BE'!$Q$7+'TUSD BE'!$R$7+'TUSD BE'!$S$7+'TUSD BE'!$U$7+'TUSD BE'!$V$7+'TUSD BE'!$W$7+'TUSD BE'!$X$7+'TUSD BE'!$Y$7+'TUSD BE'!$Z$7+'TUSD BE'!$AA$7+'TUSD BE'!$AC$7+'TUSD BE'!$AH$7+'TUSD BE'!$AI$7)*'TUSD BE'!$I$7+(+'TUSD BE'!$L$8+'TUSD BE'!$M$8+'TUSD BE'!$N$8+'TUSD BE'!$O$8+'TUSD BE'!$P$8+'TUSD BE'!$Q$8+'TUSD BE'!$R$8+'TUSD BE'!$S$8+'TUSD BE'!$U$8+'TUSD BE'!$V$8+'TUSD BE'!$W$8+'TUSD BE'!$X$8+'TUSD BE'!$Y$8+'TUSD BE'!$Z$8+'TUSD BE'!$AA$8+'TUSD BE'!$AC$8+'TUSD BE'!$AH$8+'TUSD BE'!$AI$8)*'TUSD BE'!$I$8+(+'TUSD BE'!$L$10+'TUSD BE'!$M$10+'TUSD BE'!$N$10+'TUSD BE'!$O$10+'TUSD BE'!$P$10+'TUSD BE'!$Q$10+'TUSD BE'!$R$10+'TUSD BE'!$S$10+'TUSD BE'!$U$10+'TUSD BE'!$V$10+'TUSD BE'!$W$10+'TUSD BE'!$X$10+'TUSD BE'!$Y$10+'TUSD BE'!$Z$10+'TUSD BE'!$AA$10+'TUSD BE'!$AC$10+'TUSD BE'!$AH$10+'TUSD BE'!$AI$10)*'TUSD BE'!$I$10+(+'TUSD BE'!$L$11+'TUSD BE'!$M$11+'TUSD BE'!$N$11+'TUSD BE'!$O$11+'TUSD BE'!$P$11+'TUSD BE'!$Q$11+'TUSD BE'!$R$11+'TUSD BE'!$S$11+'TUSD BE'!$U$11+'TUSD BE'!$V$11+'TUSD BE'!$W$11+'TUSD BE'!$X$11+'TUSD BE'!$Y$11+'TUSD BE'!$Z$11+'TUSD BE'!$AA$11+'TUSD BE'!$AC$11+'TUSD BE'!$AH$11+'TUSD BE'!$AI$11)*'TUSD BE'!$I$11+(+'TUSD BE'!$L$12+'TUSD BE'!$M$12+'TUSD BE'!$N$12+'TUSD BE'!$O$12+'TUSD BE'!$P$12+'TUSD BE'!$Q$12+'TUSD BE'!$R$12+'TUSD BE'!$S$12+'TUSD BE'!$U$12+'TUSD BE'!$V$12+'TUSD BE'!$W$12+'TUSD BE'!$X$12+'TUSD BE'!$Y$12+'TUSD BE'!$Z$12+'TUSD BE'!$AA$12+'TUSD BE'!$AC$12+'TUSD BE'!$AH$12+'TUSD BE'!$AI$12)*'TUSD BE'!$I$12+(+'TUSD BE'!$L$13+'TUSD BE'!$M$13+'TUSD BE'!$N$13+'TUSD BE'!$O$13+'TUSD BE'!$P$13+'TUSD BE'!$Q$13+'TUSD BE'!$R$13+'TUSD BE'!$S$13+'TUSD BE'!$U$13+'TUSD BE'!$V$13+'TUSD BE'!$W$13+'TUSD BE'!$X$13+'TUSD BE'!$Y$13+'TUSD BE'!$Z$13+'TUSD BE'!$AA$13+'TUSD BE'!$AC$13+'TUSD BE'!$AH$13+'TUSD BE'!$AI$13)*'TUSD BE'!$I$13+(+'TUSD BE'!$L$14+'TUSD BE'!$M$14+'TUSD BE'!$N$14+'TUSD BE'!$O$14+'TUSD BE'!$P$14+'TUSD BE'!$Q$14+'TUSD BE'!$R$14+'TUSD BE'!$S$14+'TUSD BE'!$U$14+'TUSD BE'!$V$14+'TUSD BE'!$W$14+'TUSD BE'!$X$14+'TUSD BE'!$Y$14+'TUSD BE'!$Z$14+'TUSD BE'!$AA$14+'TUSD BE'!$AC$14+'TUSD BE'!$AH$14+'TUSD BE'!$AI$14)*'TUSD BE'!$I$14</f>
        <v>3911735.8040413819</v>
      </c>
      <c r="M63" s="18">
        <f>+'TUSD BE'!$I$7+'TUSD BE'!$I$8+'TUSD BE'!$I$11+'TUSD BE'!$I$12+'TUSD BE'!$I$13+'TUSD BE'!$I$14</f>
        <v>11257.610999999999</v>
      </c>
      <c r="N63" s="18">
        <f ca="1">IF(AND($L$70&lt;&gt;0,M63&lt;&gt;0),(L63/$L$70*$AJ$56)/M63,0)</f>
        <v>0</v>
      </c>
      <c r="O63" s="18"/>
      <c r="P63" s="18"/>
    </row>
    <row r="64" spans="1:42" ht="11.25" customHeight="1" x14ac:dyDescent="0.3">
      <c r="K64" s="18" t="s">
        <v>77</v>
      </c>
      <c r="L64" s="18">
        <f ca="1">+$L$65+$L$66+$L$67+$L$68+$L$69</f>
        <v>2760377.2939617881</v>
      </c>
      <c r="M64" s="18">
        <f>+$M$65+$M$66+$M$67+$M$68+$M$69</f>
        <v>6753.3220000000001</v>
      </c>
      <c r="N64" s="18">
        <f ca="1">IF(AND($L$70&lt;&gt;0,M64&lt;&gt;0),(L64/$L$70*$AJ$56)/M64,0)</f>
        <v>0</v>
      </c>
      <c r="O64" s="18"/>
      <c r="P64" s="18"/>
    </row>
    <row r="65" spans="11:16" ht="11.25" customHeight="1" x14ac:dyDescent="0.3">
      <c r="K65" s="18" t="s">
        <v>77</v>
      </c>
      <c r="L65" s="18"/>
      <c r="M65" s="18"/>
      <c r="N65" s="18">
        <f ca="1">IF(AND($L$70&lt;&gt;0,M65&lt;&gt;0),(L65/$L$70*$AJ$56)/M65,0)</f>
        <v>0</v>
      </c>
      <c r="O65" s="18"/>
      <c r="P65" s="18"/>
    </row>
    <row r="66" spans="11:16" ht="11.25" customHeight="1" x14ac:dyDescent="0.3">
      <c r="K66" s="18" t="s">
        <v>22</v>
      </c>
      <c r="L66" s="18">
        <f ca="1">+(+'TUSD BE'!$L$17+'TUSD BE'!$M$17+'TUSD BE'!$N$17+'TUSD BE'!$O$17+'TUSD BE'!$P$17+'TUSD BE'!$Q$17+'TUSD BE'!$R$17+'TUSD BE'!$S$17+'TUSD BE'!$U$17+'TUSD BE'!$V$17+'TUSD BE'!$W$17+'TUSD BE'!$X$17+'TUSD BE'!$Y$17+'TUSD BE'!$Z$17+'TUSD BE'!$AA$17+'TUSD BE'!$AC$17+'TUSD BE'!$AH$17+'TUSD BE'!$AI$17)*'TUSD BE'!$I$17+(+'TUSD BE'!$L$18+'TUSD BE'!$M$18+'TUSD BE'!$N$18+'TUSD BE'!$O$18+'TUSD BE'!$P$18+'TUSD BE'!$Q$18+'TUSD BE'!$R$18+'TUSD BE'!$S$18+'TUSD BE'!$U$18+'TUSD BE'!$V$18+'TUSD BE'!$W$18+'TUSD BE'!$X$18+'TUSD BE'!$Y$18+'TUSD BE'!$Z$18+'TUSD BE'!$AA$18+'TUSD BE'!$AC$18+'TUSD BE'!$AH$18+'TUSD BE'!$AI$18)*'TUSD BE'!$I$18+(+'TUSD BE'!$L$19+'TUSD BE'!$M$19+'TUSD BE'!$N$19+'TUSD BE'!$O$19+'TUSD BE'!$P$19+'TUSD BE'!$Q$19+'TUSD BE'!$R$19+'TUSD BE'!$S$19+'TUSD BE'!$U$19+'TUSD BE'!$V$19+'TUSD BE'!$W$19+'TUSD BE'!$X$19+'TUSD BE'!$Y$19+'TUSD BE'!$Z$19+'TUSD BE'!$AA$19+'TUSD BE'!$AC$19+'TUSD BE'!$AH$19+'TUSD BE'!$AI$19)*'TUSD BE'!$I$19+(+'TUSD BE'!$L$20+'TUSD BE'!$M$20+'TUSD BE'!$N$20+'TUSD BE'!$O$20+'TUSD BE'!$P$20+'TUSD BE'!$Q$20+'TUSD BE'!$R$20+'TUSD BE'!$S$20+'TUSD BE'!$U$20+'TUSD BE'!$V$20+'TUSD BE'!$W$20+'TUSD BE'!$X$20+'TUSD BE'!$Y$20+'TUSD BE'!$Z$20+'TUSD BE'!$AA$20+'TUSD BE'!$AC$20+'TUSD BE'!$AH$20+'TUSD BE'!$AI$20)*'TUSD BE'!$I$20+(+'TUSD BE'!$L$21+'TUSD BE'!$M$21+'TUSD BE'!$N$21+'TUSD BE'!$O$21+'TUSD BE'!$P$21+'TUSD BE'!$Q$21+'TUSD BE'!$R$21+'TUSD BE'!$S$21+'TUSD BE'!$U$21+'TUSD BE'!$V$21+'TUSD BE'!$W$21+'TUSD BE'!$X$21+'TUSD BE'!$Y$21+'TUSD BE'!$Z$21+'TUSD BE'!$AA$21+'TUSD BE'!$AC$21+'TUSD BE'!$AH$21+'TUSD BE'!$AI$21)*'TUSD BE'!$I$21+(+'TUSD BE'!$L$22+'TUSD BE'!$M$22+'TUSD BE'!$N$22+'TUSD BE'!$O$22+'TUSD BE'!$P$22+'TUSD BE'!$Q$22+'TUSD BE'!$R$22+'TUSD BE'!$S$22+'TUSD BE'!$U$22+'TUSD BE'!$V$22+'TUSD BE'!$W$22+'TUSD BE'!$X$22+'TUSD BE'!$Y$22+'TUSD BE'!$Z$22+'TUSD BE'!$AA$22+'TUSD BE'!$AC$22+'TUSD BE'!$AH$22+'TUSD BE'!$AI$22)*'TUSD BE'!$I$22+(+'TUSD BE'!$L$23+'TUSD BE'!$M$23+'TUSD BE'!$N$23+'TUSD BE'!$O$23+'TUSD BE'!$P$23+'TUSD BE'!$Q$23+'TUSD BE'!$R$23+'TUSD BE'!$S$23+'TUSD BE'!$U$23+'TUSD BE'!$V$23+'TUSD BE'!$W$23+'TUSD BE'!$X$23+'TUSD BE'!$Y$23+'TUSD BE'!$Z$23+'TUSD BE'!$AA$23+'TUSD BE'!$AC$23+'TUSD BE'!$AH$23+'TUSD BE'!$AI$23)*'TUSD BE'!$I$23+(+'TUSD BE'!$L$24+'TUSD BE'!$M$24+'TUSD BE'!$N$24+'TUSD BE'!$O$24+'TUSD BE'!$P$24+'TUSD BE'!$Q$24+'TUSD BE'!$R$24+'TUSD BE'!$S$24+'TUSD BE'!$U$24+'TUSD BE'!$V$24+'TUSD BE'!$W$24+'TUSD BE'!$X$24+'TUSD BE'!$Y$24+'TUSD BE'!$Z$24+'TUSD BE'!$AA$24+'TUSD BE'!$AC$24+'TUSD BE'!$AH$24+'TUSD BE'!$AI$24)*'TUSD BE'!$I$24+(+'TUSD BE'!$L$25+'TUSD BE'!$M$25+'TUSD BE'!$N$25+'TUSD BE'!$O$25+'TUSD BE'!$P$25+'TUSD BE'!$Q$25+'TUSD BE'!$R$25+'TUSD BE'!$S$25+'TUSD BE'!$U$25+'TUSD BE'!$V$25+'TUSD BE'!$W$25+'TUSD BE'!$X$25+'TUSD BE'!$Y$25+'TUSD BE'!$Z$25+'TUSD BE'!$AA$25+'TUSD BE'!$AC$25+'TUSD BE'!$AH$25+'TUSD BE'!$AI$25)*'TUSD BE'!$I$25+(+'TUSD BE'!$L$26+'TUSD BE'!$M$26+'TUSD BE'!$N$26+'TUSD BE'!$O$26+'TUSD BE'!$P$26+'TUSD BE'!$Q$26+'TUSD BE'!$R$26+'TUSD BE'!$S$26+'TUSD BE'!$U$26+'TUSD BE'!$V$26+'TUSD BE'!$W$26+'TUSD BE'!$X$26+'TUSD BE'!$Y$26+'TUSD BE'!$Z$26+'TUSD BE'!$AA$26+'TUSD BE'!$AC$26+'TUSD BE'!$AH$26+'TUSD BE'!$AI$26)*'TUSD BE'!$I$26+(+'TUSD BE'!$L$27+'TUSD BE'!$M$27+'TUSD BE'!$N$27+'TUSD BE'!$O$27+'TUSD BE'!$P$27+'TUSD BE'!$Q$27+'TUSD BE'!$R$27+'TUSD BE'!$S$27+'TUSD BE'!$U$27+'TUSD BE'!$V$27+'TUSD BE'!$W$27+'TUSD BE'!$X$27+'TUSD BE'!$Y$27+'TUSD BE'!$Z$27+'TUSD BE'!$AA$27+'TUSD BE'!$AC$27+'TUSD BE'!$AH$27+'TUSD BE'!$AI$27)*'TUSD BE'!$I$27+(+'TUSD BE'!$L$28+'TUSD BE'!$M$28+'TUSD BE'!$N$28+'TUSD BE'!$O$28+'TUSD BE'!$P$28+'TUSD BE'!$Q$28+'TUSD BE'!$R$28+'TUSD BE'!$S$28+'TUSD BE'!$U$28+'TUSD BE'!$V$28+'TUSD BE'!$W$28+'TUSD BE'!$X$28+'TUSD BE'!$Y$28+'TUSD BE'!$Z$28+'TUSD BE'!$AA$28+'TUSD BE'!$AC$28+'TUSD BE'!$AH$28+'TUSD BE'!$AI$28)*'TUSD BE'!$I$28+(+'TUSD BE'!$L$29+'TUSD BE'!$M$29+'TUSD BE'!$N$29+'TUSD BE'!$O$29+'TUSD BE'!$P$29+'TUSD BE'!$Q$29+'TUSD BE'!$R$29+'TUSD BE'!$S$29+'TUSD BE'!$U$29+'TUSD BE'!$V$29+'TUSD BE'!$W$29+'TUSD BE'!$X$29+'TUSD BE'!$Y$29+'TUSD BE'!$Z$29+'TUSD BE'!$AA$29+'TUSD BE'!$AC$29+'TUSD BE'!$AH$29+'TUSD BE'!$AI$29)*'TUSD BE'!$I$29</f>
        <v>185162.18000102486</v>
      </c>
      <c r="M66" s="18">
        <f>+'TUSD BE'!$I$17+'TUSD BE'!$I$18+'TUSD BE'!$I$19+'TUSD BE'!$I$20+'TUSD BE'!$I$21+'TUSD BE'!$I$22+'TUSD BE'!$I$23+'TUSD BE'!$I$24+'TUSD BE'!$I$25+'TUSD BE'!$I$26+'TUSD BE'!$I$27+'TUSD BE'!$I$28+'TUSD BE'!$I$29</f>
        <v>448.87699999999995</v>
      </c>
      <c r="N66" s="18"/>
      <c r="O66" s="18"/>
      <c r="P66" s="18"/>
    </row>
    <row r="67" spans="11:16" ht="11.25" customHeight="1" x14ac:dyDescent="0.3">
      <c r="K67" s="18" t="s">
        <v>39</v>
      </c>
      <c r="L67" s="18">
        <f ca="1">+(+'TUSD BE'!$L$30+'TUSD BE'!$M$30+'TUSD BE'!$N$30+'TUSD BE'!$O$30+'TUSD BE'!$P$30+'TUSD BE'!$Q$30+'TUSD BE'!$R$30+'TUSD BE'!$S$30+'TUSD BE'!$U$30+'TUSD BE'!$V$30+'TUSD BE'!$W$30+'TUSD BE'!$X$30+'TUSD BE'!$Y$30+'TUSD BE'!$Z$30+'TUSD BE'!$AA$30+'TUSD BE'!$AC$30+'TUSD BE'!$AH$30+'TUSD BE'!$AI$30)*'TUSD BE'!$I$30+(+'TUSD BE'!$L$31+'TUSD BE'!$M$31+'TUSD BE'!$N$31+'TUSD BE'!$O$31+'TUSD BE'!$P$31+'TUSD BE'!$Q$31+'TUSD BE'!$R$31+'TUSD BE'!$S$31+'TUSD BE'!$U$31+'TUSD BE'!$V$31+'TUSD BE'!$W$31+'TUSD BE'!$X$31+'TUSD BE'!$Y$31+'TUSD BE'!$Z$31+'TUSD BE'!$AA$31+'TUSD BE'!$AC$31+'TUSD BE'!$AH$31+'TUSD BE'!$AI$31)*'TUSD BE'!$I$31+(+'TUSD BE'!$L$32+'TUSD BE'!$M$32+'TUSD BE'!$N$32+'TUSD BE'!$O$32+'TUSD BE'!$P$32+'TUSD BE'!$Q$32+'TUSD BE'!$R$32+'TUSD BE'!$S$32+'TUSD BE'!$U$32+'TUSD BE'!$V$32+'TUSD BE'!$W$32+'TUSD BE'!$X$32+'TUSD BE'!$Y$32+'TUSD BE'!$Z$32+'TUSD BE'!$AA$32+'TUSD BE'!$AC$32+'TUSD BE'!$AH$32+'TUSD BE'!$AI$32)*'TUSD BE'!$I$32+(+'TUSD BE'!$L$33+'TUSD BE'!$M$33+'TUSD BE'!$N$33+'TUSD BE'!$O$33+'TUSD BE'!$P$33+'TUSD BE'!$Q$33+'TUSD BE'!$R$33+'TUSD BE'!$S$33+'TUSD BE'!$U$33+'TUSD BE'!$V$33+'TUSD BE'!$W$33+'TUSD BE'!$X$33+'TUSD BE'!$Y$33+'TUSD BE'!$Z$33+'TUSD BE'!$AA$33+'TUSD BE'!$AC$33+'TUSD BE'!$AH$33+'TUSD BE'!$AI$33)*'TUSD BE'!$I$33+(+'TUSD BE'!$L$34+'TUSD BE'!$M$34+'TUSD BE'!$N$34+'TUSD BE'!$O$34+'TUSD BE'!$P$34+'TUSD BE'!$Q$34+'TUSD BE'!$R$34+'TUSD BE'!$S$34+'TUSD BE'!$U$34+'TUSD BE'!$V$34+'TUSD BE'!$W$34+'TUSD BE'!$X$34+'TUSD BE'!$Y$34+'TUSD BE'!$Z$34+'TUSD BE'!$AA$34+'TUSD BE'!$AC$34+'TUSD BE'!$AH$34+'TUSD BE'!$AI$34)*'TUSD BE'!$I$34+(+'TUSD BE'!$L$35+'TUSD BE'!$M$35+'TUSD BE'!$N$35+'TUSD BE'!$O$35+'TUSD BE'!$P$35+'TUSD BE'!$Q$35+'TUSD BE'!$R$35+'TUSD BE'!$S$35+'TUSD BE'!$U$35+'TUSD BE'!$V$35+'TUSD BE'!$W$35+'TUSD BE'!$X$35+'TUSD BE'!$Y$35+'TUSD BE'!$Z$35+'TUSD BE'!$AA$35+'TUSD BE'!$AC$35+'TUSD BE'!$AH$35+'TUSD BE'!$AI$35)*'TUSD BE'!$I$35+(+'TUSD BE'!$L$36+'TUSD BE'!$M$36+'TUSD BE'!$N$36+'TUSD BE'!$O$36+'TUSD BE'!$P$36+'TUSD BE'!$Q$36+'TUSD BE'!$R$36+'TUSD BE'!$S$36+'TUSD BE'!$U$36+'TUSD BE'!$V$36+'TUSD BE'!$W$36+'TUSD BE'!$X$36+'TUSD BE'!$Y$36+'TUSD BE'!$Z$36+'TUSD BE'!$AA$36+'TUSD BE'!$AC$36+'TUSD BE'!$AH$36+'TUSD BE'!$AI$36)*'TUSD BE'!$I$36+(+'TUSD BE'!$L$37+'TUSD BE'!$M$37+'TUSD BE'!$N$37+'TUSD BE'!$O$37+'TUSD BE'!$P$37+'TUSD BE'!$Q$37+'TUSD BE'!$R$37+'TUSD BE'!$S$37+'TUSD BE'!$U$37+'TUSD BE'!$V$37+'TUSD BE'!$W$37+'TUSD BE'!$X$37+'TUSD BE'!$Y$37+'TUSD BE'!$Z$37+'TUSD BE'!$AA$37+'TUSD BE'!$AC$37+'TUSD BE'!$AH$37+'TUSD BE'!$AI$37)*'TUSD BE'!$I$37+(+'TUSD BE'!$L$38+'TUSD BE'!$M$38+'TUSD BE'!$N$38+'TUSD BE'!$O$38+'TUSD BE'!$P$38+'TUSD BE'!$Q$38+'TUSD BE'!$R$38+'TUSD BE'!$S$38+'TUSD BE'!$U$38+'TUSD BE'!$V$38+'TUSD BE'!$W$38+'TUSD BE'!$X$38+'TUSD BE'!$Y$38+'TUSD BE'!$Z$38+'TUSD BE'!$AA$38+'TUSD BE'!$AC$38+'TUSD BE'!$AH$38+'TUSD BE'!$AI$38)*'TUSD BE'!$I$38+(+'TUSD BE'!$L$39+'TUSD BE'!$M$39+'TUSD BE'!$N$39+'TUSD BE'!$O$39+'TUSD BE'!$P$39+'TUSD BE'!$Q$39+'TUSD BE'!$R$39+'TUSD BE'!$S$39+'TUSD BE'!$U$39+'TUSD BE'!$V$39+'TUSD BE'!$W$39+'TUSD BE'!$X$39+'TUSD BE'!$Y$39+'TUSD BE'!$Z$39+'TUSD BE'!$AA$39+'TUSD BE'!$AC$39+'TUSD BE'!$AH$39+'TUSD BE'!$AI$39)*'TUSD BE'!$I$39+(+'TUSD BE'!$L$40+'TUSD BE'!$M$40+'TUSD BE'!$N$40+'TUSD BE'!$O$40+'TUSD BE'!$P$40+'TUSD BE'!$Q$40+'TUSD BE'!$R$40+'TUSD BE'!$S$40+'TUSD BE'!$U$40+'TUSD BE'!$V$40+'TUSD BE'!$W$40+'TUSD BE'!$X$40+'TUSD BE'!$Y$40+'TUSD BE'!$Z$40+'TUSD BE'!$AA$40+'TUSD BE'!$AC$40+'TUSD BE'!$AH$40+'TUSD BE'!$AI$40)*'TUSD BE'!$I$40+(+'TUSD BE'!$L$41+'TUSD BE'!$M$41+'TUSD BE'!$N$41+'TUSD BE'!$O$41+'TUSD BE'!$P$41+'TUSD BE'!$Q$41+'TUSD BE'!$R$41+'TUSD BE'!$S$41+'TUSD BE'!$U$41+'TUSD BE'!$V$41+'TUSD BE'!$W$41+'TUSD BE'!$X$41+'TUSD BE'!$Y$41+'TUSD BE'!$Z$41+'TUSD BE'!$AA$41+'TUSD BE'!$AC$41+'TUSD BE'!$AH$41+'TUSD BE'!$AI$41)*'TUSD BE'!$I$41+(+'TUSD BE'!$L$42+'TUSD BE'!$M$42+'TUSD BE'!$N$42+'TUSD BE'!$O$42+'TUSD BE'!$P$42+'TUSD BE'!$Q$42+'TUSD BE'!$R$42+'TUSD BE'!$S$42+'TUSD BE'!$U$42+'TUSD BE'!$V$42+'TUSD BE'!$W$42+'TUSD BE'!$X$42+'TUSD BE'!$Y$42+'TUSD BE'!$Z$42+'TUSD BE'!$AA$42+'TUSD BE'!$AC$42+'TUSD BE'!$AH$42+'TUSD BE'!$AI$42)*'TUSD BE'!$I$42+(+'TUSD BE'!$L$43+'TUSD BE'!$M$43+'TUSD BE'!$N$43+'TUSD BE'!$O$43+'TUSD BE'!$P$43+'TUSD BE'!$Q$43+'TUSD BE'!$R$43+'TUSD BE'!$S$43+'TUSD BE'!$U$43+'TUSD BE'!$V$43+'TUSD BE'!$W$43+'TUSD BE'!$X$43+'TUSD BE'!$Y$43+'TUSD BE'!$Z$43+'TUSD BE'!$AA$43+'TUSD BE'!$AC$43+'TUSD BE'!$AH$43+'TUSD BE'!$AI$43)*'TUSD BE'!$I$43+(+'TUSD BE'!$L$44+'TUSD BE'!$M$44+'TUSD BE'!$N$44+'TUSD BE'!$O$44+'TUSD BE'!$P$44+'TUSD BE'!$Q$44+'TUSD BE'!$R$44+'TUSD BE'!$S$44+'TUSD BE'!$U$44+'TUSD BE'!$V$44+'TUSD BE'!$W$44+'TUSD BE'!$X$44+'TUSD BE'!$Y$44+'TUSD BE'!$Z$44+'TUSD BE'!$AA$44+'TUSD BE'!$AC$44+'TUSD BE'!$AH$44+'TUSD BE'!$AI$44)*'TUSD BE'!$I$44</f>
        <v>2384312.2929211184</v>
      </c>
      <c r="M67" s="18">
        <f>+'TUSD BE'!$I$30+'TUSD BE'!$I$31+'TUSD BE'!$I$32+'TUSD BE'!$I$33+'TUSD BE'!$I$34+'TUSD BE'!$I$35+'TUSD BE'!$I$36+'TUSD BE'!$I$37+'TUSD BE'!$I$38+'TUSD BE'!$I$39+'TUSD BE'!$I$40+'TUSD BE'!$I$41+'TUSD BE'!$I$42+'TUSD BE'!$I$43+'TUSD BE'!$I$44</f>
        <v>5733.0710000000008</v>
      </c>
      <c r="N67" s="18"/>
      <c r="O67" s="18"/>
      <c r="P67" s="18"/>
    </row>
    <row r="68" spans="11:16" ht="11.25" customHeight="1" x14ac:dyDescent="0.3">
      <c r="K68" s="18" t="s">
        <v>31</v>
      </c>
      <c r="L68" s="18">
        <f ca="1">+(+'TUSD BE'!$L$45+'TUSD BE'!$M$45+'TUSD BE'!$N$45+'TUSD BE'!$O$45+'TUSD BE'!$P$45+'TUSD BE'!$Q$45+'TUSD BE'!$R$45+'TUSD BE'!$S$45+'TUSD BE'!$U$45+'TUSD BE'!$V$45+'TUSD BE'!$W$45+'TUSD BE'!$X$45+'TUSD BE'!$Y$45+'TUSD BE'!$Z$45+'TUSD BE'!$AA$45+'TUSD BE'!$AC$45+'TUSD BE'!$AH$45+'TUSD BE'!$AI$45)*'TUSD BE'!$I$45+(+'TUSD BE'!$L$46+'TUSD BE'!$M$46+'TUSD BE'!$N$46+'TUSD BE'!$O$46+'TUSD BE'!$P$46+'TUSD BE'!$Q$46+'TUSD BE'!$R$46+'TUSD BE'!$S$46+'TUSD BE'!$U$46+'TUSD BE'!$V$46+'TUSD BE'!$W$46+'TUSD BE'!$X$46+'TUSD BE'!$Y$46+'TUSD BE'!$Z$46+'TUSD BE'!$AA$46+'TUSD BE'!$AC$46+'TUSD BE'!$AH$46+'TUSD BE'!$AI$46)*'TUSD BE'!$I$46+(+'TUSD BE'!$L$47+'TUSD BE'!$M$47+'TUSD BE'!$N$47+'TUSD BE'!$O$47+'TUSD BE'!$P$47+'TUSD BE'!$Q$47+'TUSD BE'!$R$47+'TUSD BE'!$S$47+'TUSD BE'!$U$47+'TUSD BE'!$V$47+'TUSD BE'!$W$47+'TUSD BE'!$X$47+'TUSD BE'!$Y$47+'TUSD BE'!$Z$47+'TUSD BE'!$AA$47+'TUSD BE'!$AC$47+'TUSD BE'!$AH$47+'TUSD BE'!$AI$47)*'TUSD BE'!$I$47+(+'TUSD BE'!$L$48+'TUSD BE'!$M$48+'TUSD BE'!$N$48+'TUSD BE'!$O$48+'TUSD BE'!$P$48+'TUSD BE'!$Q$48+'TUSD BE'!$R$48+'TUSD BE'!$S$48+'TUSD BE'!$U$48+'TUSD BE'!$V$48+'TUSD BE'!$W$48+'TUSD BE'!$X$48+'TUSD BE'!$Y$48+'TUSD BE'!$Z$48+'TUSD BE'!$AA$48+'TUSD BE'!$AC$48+'TUSD BE'!$AH$48+'TUSD BE'!$AI$48)*'TUSD BE'!$I$48+(+'TUSD BE'!$L$49+'TUSD BE'!$M$49+'TUSD BE'!$N$49+'TUSD BE'!$O$49+'TUSD BE'!$P$49+'TUSD BE'!$Q$49+'TUSD BE'!$R$49+'TUSD BE'!$S$49+'TUSD BE'!$U$49+'TUSD BE'!$V$49+'TUSD BE'!$W$49+'TUSD BE'!$X$49+'TUSD BE'!$Y$49+'TUSD BE'!$Z$49+'TUSD BE'!$AA$49+'TUSD BE'!$AC$49+'TUSD BE'!$AH$49+'TUSD BE'!$AI$49)*'TUSD BE'!$I$49</f>
        <v>133795.15232859543</v>
      </c>
      <c r="M68" s="18">
        <f>+'TUSD BE'!$I$45+'TUSD BE'!$I$46+'TUSD BE'!$I$47+'TUSD BE'!$I$48+'TUSD BE'!$I$49</f>
        <v>321.71000000000004</v>
      </c>
      <c r="N68" s="18"/>
      <c r="O68" s="18"/>
      <c r="P68" s="18"/>
    </row>
    <row r="69" spans="11:16" ht="11.25" customHeight="1" x14ac:dyDescent="0.3">
      <c r="K69" s="18" t="s">
        <v>43</v>
      </c>
      <c r="L69" s="18">
        <f ca="1">+(+'TUSD BE'!$L$50+'TUSD BE'!$M$50+'TUSD BE'!$N$50+'TUSD BE'!$O$50+'TUSD BE'!$P$50+'TUSD BE'!$Q$50+'TUSD BE'!$R$50+'TUSD BE'!$S$50+'TUSD BE'!$U$50+'TUSD BE'!$V$50+'TUSD BE'!$W$50+'TUSD BE'!$X$50+'TUSD BE'!$Y$50+'TUSD BE'!$Z$50+'TUSD BE'!$AA$50+'TUSD BE'!$AC$50+'TUSD BE'!$AH$50+'TUSD BE'!$AI$50)*'TUSD BE'!$I$50+(+'TUSD BE'!$L$51+'TUSD BE'!$M$51+'TUSD BE'!$N$51+'TUSD BE'!$O$51+'TUSD BE'!$P$51+'TUSD BE'!$Q$51+'TUSD BE'!$R$51+'TUSD BE'!$S$51+'TUSD BE'!$U$51+'TUSD BE'!$V$51+'TUSD BE'!$W$51+'TUSD BE'!$X$51+'TUSD BE'!$Y$51+'TUSD BE'!$Z$51+'TUSD BE'!$AA$51+'TUSD BE'!$AC$51+'TUSD BE'!$AH$51+'TUSD BE'!$AI$51)*'TUSD BE'!$I$51</f>
        <v>57107.668711048922</v>
      </c>
      <c r="M69" s="18">
        <f>+'TUSD BE'!$I$50+'TUSD BE'!$I$51</f>
        <v>249.66400000000002</v>
      </c>
      <c r="N69" s="18"/>
      <c r="O69" s="18"/>
      <c r="P69" s="18"/>
    </row>
    <row r="70" spans="11:16" ht="11.25" customHeight="1" x14ac:dyDescent="0.3">
      <c r="K70" s="18"/>
      <c r="L70" s="18">
        <f ca="1">SUM($L$63:$L$69,-$L$64)</f>
        <v>6672113.0980031714</v>
      </c>
      <c r="M70" s="18">
        <f>SUM($M$63:$M$69,-$M$64)</f>
        <v>18010.932999999997</v>
      </c>
      <c r="N70" s="18"/>
      <c r="O70" s="18"/>
      <c r="P70" s="18"/>
    </row>
  </sheetData>
  <mergeCells count="73">
    <mergeCell ref="AH3:AL3"/>
    <mergeCell ref="AM3:AM4"/>
    <mergeCell ref="AP1:AP4"/>
    <mergeCell ref="G1:G4"/>
    <mergeCell ref="H1:H4"/>
    <mergeCell ref="I1:I4"/>
    <mergeCell ref="J1:J4"/>
    <mergeCell ref="L1:AM1"/>
    <mergeCell ref="L2:AM2"/>
    <mergeCell ref="L3:T3"/>
    <mergeCell ref="U3:AB3"/>
    <mergeCell ref="AC3:AD3"/>
    <mergeCell ref="AE3:AG3"/>
    <mergeCell ref="A1:A4"/>
    <mergeCell ref="B1:B4"/>
    <mergeCell ref="C1:C4"/>
    <mergeCell ref="D1:D4"/>
    <mergeCell ref="E1:E4"/>
    <mergeCell ref="F1:F4"/>
    <mergeCell ref="E45:E47"/>
    <mergeCell ref="F45:F47"/>
    <mergeCell ref="A50:A51"/>
    <mergeCell ref="B50:B51"/>
    <mergeCell ref="C50:C51"/>
    <mergeCell ref="B42:B44"/>
    <mergeCell ref="C42:C44"/>
    <mergeCell ref="A45:A49"/>
    <mergeCell ref="B45:B47"/>
    <mergeCell ref="C45:C47"/>
    <mergeCell ref="D45:D47"/>
    <mergeCell ref="F34:F36"/>
    <mergeCell ref="B38:B40"/>
    <mergeCell ref="C38:C40"/>
    <mergeCell ref="D38:D40"/>
    <mergeCell ref="E38:E40"/>
    <mergeCell ref="F38:F40"/>
    <mergeCell ref="A30:A44"/>
    <mergeCell ref="B30:B32"/>
    <mergeCell ref="C30:C32"/>
    <mergeCell ref="D30:D32"/>
    <mergeCell ref="E30:E32"/>
    <mergeCell ref="F30:F32"/>
    <mergeCell ref="B34:B36"/>
    <mergeCell ref="C34:C36"/>
    <mergeCell ref="D34:D36"/>
    <mergeCell ref="E34:E36"/>
    <mergeCell ref="F13:F14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E5:E7"/>
    <mergeCell ref="F5:F7"/>
    <mergeCell ref="B10:B14"/>
    <mergeCell ref="C10:C14"/>
    <mergeCell ref="A15:A16"/>
    <mergeCell ref="B15:B16"/>
    <mergeCell ref="C15:C16"/>
    <mergeCell ref="D15:D16"/>
    <mergeCell ref="A5:A14"/>
    <mergeCell ref="B5:B8"/>
    <mergeCell ref="C5:C8"/>
    <mergeCell ref="D5:D8"/>
    <mergeCell ref="D10:D14"/>
    <mergeCell ref="E10:E12"/>
    <mergeCell ref="F10:F12"/>
    <mergeCell ref="E13:E1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2DFB-0751-43A7-A6C5-29C639B8B998}">
  <dimension ref="A1:AP58"/>
  <sheetViews>
    <sheetView showGridLines="0" topLeftCell="AF41" workbookViewId="0">
      <selection activeCell="AM53" sqref="AM53"/>
    </sheetView>
  </sheetViews>
  <sheetFormatPr defaultRowHeight="11.25" customHeight="1" x14ac:dyDescent="0.3"/>
  <cols>
    <col min="1" max="1" width="9" style="9" bestFit="1" customWidth="1"/>
    <col min="2" max="2" width="19.44140625" style="9" bestFit="1" customWidth="1"/>
    <col min="3" max="3" width="12.6640625" style="9" bestFit="1" customWidth="1"/>
    <col min="4" max="4" width="23.109375" style="9" bestFit="1" customWidth="1"/>
    <col min="5" max="6" width="9.5546875" style="9" bestFit="1" customWidth="1"/>
    <col min="7" max="7" width="5.88671875" style="9" bestFit="1" customWidth="1"/>
    <col min="8" max="9" width="7.109375" style="9" bestFit="1" customWidth="1"/>
    <col min="10" max="10" width="8.88671875" style="9"/>
    <col min="11" max="11" width="14.109375" style="9" bestFit="1" customWidth="1"/>
    <col min="12" max="12" width="12.44140625" style="9" bestFit="1" customWidth="1"/>
    <col min="13" max="13" width="7.109375" style="9" bestFit="1" customWidth="1"/>
    <col min="14" max="14" width="3.77734375" style="9" bestFit="1" customWidth="1"/>
    <col min="15" max="15" width="3.88671875" style="9" bestFit="1" customWidth="1"/>
    <col min="16" max="16" width="3.77734375" style="9" bestFit="1" customWidth="1"/>
    <col min="17" max="17" width="9.109375" style="9" bestFit="1" customWidth="1"/>
    <col min="18" max="18" width="7.88671875" style="9" bestFit="1" customWidth="1"/>
    <col min="19" max="19" width="8" style="9" bestFit="1" customWidth="1"/>
    <col min="20" max="20" width="9.109375" style="9" bestFit="1" customWidth="1"/>
    <col min="21" max="21" width="7.109375" style="9" bestFit="1" customWidth="1"/>
    <col min="22" max="22" width="7" style="9" bestFit="1" customWidth="1"/>
    <col min="23" max="23" width="9.21875" style="9" bestFit="1" customWidth="1"/>
    <col min="24" max="24" width="9.33203125" style="9" bestFit="1" customWidth="1"/>
    <col min="25" max="25" width="9.109375" style="9" bestFit="1" customWidth="1"/>
    <col min="26" max="26" width="7.109375" style="9" bestFit="1" customWidth="1"/>
    <col min="27" max="27" width="9.33203125" style="9" bestFit="1" customWidth="1"/>
    <col min="28" max="28" width="9.109375" style="9" bestFit="1" customWidth="1"/>
    <col min="29" max="29" width="11.109375" style="9" bestFit="1" customWidth="1"/>
    <col min="30" max="30" width="9.5546875" style="9" bestFit="1" customWidth="1"/>
    <col min="31" max="31" width="7.77734375" style="9" bestFit="1" customWidth="1"/>
    <col min="32" max="32" width="6.88671875" style="9" bestFit="1" customWidth="1"/>
    <col min="33" max="33" width="8.5546875" style="9" bestFit="1" customWidth="1"/>
    <col min="34" max="34" width="14.44140625" style="9" bestFit="1" customWidth="1"/>
    <col min="35" max="35" width="17.5546875" style="9" bestFit="1" customWidth="1"/>
    <col min="36" max="36" width="18.109375" style="9" bestFit="1" customWidth="1"/>
    <col min="37" max="37" width="3.5546875" style="9" bestFit="1" customWidth="1"/>
    <col min="38" max="38" width="8.5546875" style="9" bestFit="1" customWidth="1"/>
    <col min="39" max="39" width="9.5546875" style="9" bestFit="1" customWidth="1"/>
    <col min="40" max="41" width="8.88671875" style="9"/>
    <col min="42" max="42" width="7.21875" style="9" bestFit="1" customWidth="1"/>
    <col min="43" max="16384" width="8.88671875" style="9"/>
  </cols>
  <sheetData>
    <row r="1" spans="1:42" ht="11.25" customHeight="1" x14ac:dyDescent="0.3">
      <c r="A1" s="92" t="s">
        <v>58</v>
      </c>
      <c r="B1" s="92" t="s">
        <v>59</v>
      </c>
      <c r="C1" s="92" t="s">
        <v>60</v>
      </c>
      <c r="D1" s="92" t="s">
        <v>61</v>
      </c>
      <c r="E1" s="92" t="s">
        <v>62</v>
      </c>
      <c r="F1" s="92" t="s">
        <v>15</v>
      </c>
      <c r="G1" s="92" t="s">
        <v>64</v>
      </c>
      <c r="H1" s="92" t="s">
        <v>65</v>
      </c>
      <c r="I1" s="92" t="s">
        <v>468</v>
      </c>
      <c r="J1" s="80"/>
      <c r="L1" s="93" t="s">
        <v>476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P1" s="93" t="s">
        <v>470</v>
      </c>
    </row>
    <row r="2" spans="1:42" ht="11.2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80"/>
      <c r="L2" s="93" t="s">
        <v>367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P2" s="94"/>
    </row>
    <row r="3" spans="1:42" ht="11.25" customHeight="1" x14ac:dyDescent="0.3">
      <c r="A3" s="92"/>
      <c r="B3" s="92"/>
      <c r="C3" s="92"/>
      <c r="D3" s="92"/>
      <c r="E3" s="92"/>
      <c r="F3" s="92"/>
      <c r="G3" s="92"/>
      <c r="H3" s="92"/>
      <c r="I3" s="92"/>
      <c r="J3" s="80"/>
      <c r="L3" s="93" t="s">
        <v>368</v>
      </c>
      <c r="M3" s="93"/>
      <c r="N3" s="93"/>
      <c r="O3" s="93"/>
      <c r="P3" s="93"/>
      <c r="Q3" s="93"/>
      <c r="R3" s="93"/>
      <c r="S3" s="93"/>
      <c r="T3" s="93"/>
      <c r="U3" s="93" t="s">
        <v>377</v>
      </c>
      <c r="V3" s="93"/>
      <c r="W3" s="93"/>
      <c r="X3" s="93"/>
      <c r="Y3" s="93"/>
      <c r="Z3" s="93"/>
      <c r="AA3" s="93"/>
      <c r="AB3" s="93"/>
      <c r="AC3" s="93" t="s">
        <v>385</v>
      </c>
      <c r="AD3" s="93"/>
      <c r="AE3" s="93" t="s">
        <v>387</v>
      </c>
      <c r="AF3" s="93"/>
      <c r="AG3" s="93"/>
      <c r="AH3" s="93" t="s">
        <v>390</v>
      </c>
      <c r="AI3" s="93"/>
      <c r="AJ3" s="93"/>
      <c r="AK3" s="93"/>
      <c r="AL3" s="93"/>
      <c r="AM3" s="93" t="s">
        <v>376</v>
      </c>
      <c r="AP3" s="94"/>
    </row>
    <row r="4" spans="1:42" ht="11.25" customHeight="1" x14ac:dyDescent="0.3">
      <c r="A4" s="92"/>
      <c r="B4" s="92"/>
      <c r="C4" s="92"/>
      <c r="D4" s="92"/>
      <c r="E4" s="92"/>
      <c r="F4" s="92"/>
      <c r="G4" s="92"/>
      <c r="H4" s="92"/>
      <c r="I4" s="92"/>
      <c r="J4" s="80"/>
      <c r="L4" s="10" t="s">
        <v>453</v>
      </c>
      <c r="M4" s="10" t="s">
        <v>369</v>
      </c>
      <c r="N4" s="10" t="s">
        <v>370</v>
      </c>
      <c r="O4" s="10" t="s">
        <v>371</v>
      </c>
      <c r="P4" s="10" t="s">
        <v>372</v>
      </c>
      <c r="Q4" s="10" t="s">
        <v>373</v>
      </c>
      <c r="R4" s="10" t="s">
        <v>374</v>
      </c>
      <c r="S4" s="10" t="s">
        <v>375</v>
      </c>
      <c r="T4" s="10" t="s">
        <v>376</v>
      </c>
      <c r="U4" s="10" t="s">
        <v>378</v>
      </c>
      <c r="V4" s="10" t="s">
        <v>379</v>
      </c>
      <c r="W4" s="10" t="s">
        <v>380</v>
      </c>
      <c r="X4" s="10" t="s">
        <v>381</v>
      </c>
      <c r="Y4" s="10" t="s">
        <v>382</v>
      </c>
      <c r="Z4" s="10" t="s">
        <v>383</v>
      </c>
      <c r="AA4" s="10" t="s">
        <v>384</v>
      </c>
      <c r="AB4" s="10" t="s">
        <v>376</v>
      </c>
      <c r="AC4" s="10" t="s">
        <v>386</v>
      </c>
      <c r="AD4" s="10" t="s">
        <v>376</v>
      </c>
      <c r="AE4" s="10" t="s">
        <v>388</v>
      </c>
      <c r="AF4" s="10" t="s">
        <v>389</v>
      </c>
      <c r="AG4" s="10" t="s">
        <v>376</v>
      </c>
      <c r="AH4" s="10" t="s">
        <v>391</v>
      </c>
      <c r="AI4" s="10" t="s">
        <v>392</v>
      </c>
      <c r="AJ4" s="10" t="s">
        <v>393</v>
      </c>
      <c r="AK4" s="10" t="s">
        <v>394</v>
      </c>
      <c r="AL4" s="10" t="s">
        <v>376</v>
      </c>
      <c r="AM4" s="95"/>
      <c r="AP4" s="94"/>
    </row>
    <row r="5" spans="1:42" ht="11.25" customHeight="1" x14ac:dyDescent="0.3">
      <c r="A5" s="91" t="s">
        <v>33</v>
      </c>
      <c r="B5" s="91" t="s">
        <v>34</v>
      </c>
      <c r="C5" s="91" t="s">
        <v>25</v>
      </c>
      <c r="D5" s="91" t="s">
        <v>25</v>
      </c>
      <c r="E5" s="91" t="s">
        <v>25</v>
      </c>
      <c r="F5" s="91" t="s">
        <v>25</v>
      </c>
      <c r="G5" s="18" t="s">
        <v>72</v>
      </c>
      <c r="H5" s="18" t="s">
        <v>71</v>
      </c>
      <c r="I5" s="18">
        <f>'MERCADO TUSD'!$U$2</f>
        <v>8229</v>
      </c>
      <c r="J5" s="15"/>
      <c r="L5" s="13">
        <f>'TR TUSD'!$L$5*'TR TUSD'!$L$60</f>
        <v>0</v>
      </c>
      <c r="M5" s="13">
        <f>'TR TUSD'!$M$5*'TR TUSD'!$M$60</f>
        <v>0</v>
      </c>
      <c r="N5" s="13">
        <f ca="1">'TR TUSD'!$N$5*'TR TUSD'!$N$60</f>
        <v>0</v>
      </c>
      <c r="O5" s="13">
        <f>'TR TUSD'!$O$5*'TR TUSD'!$O$60</f>
        <v>0</v>
      </c>
      <c r="P5" s="13">
        <f>'TR TUSD'!$P$5*'TR TUSD'!$P$60</f>
        <v>0</v>
      </c>
      <c r="Q5" s="13">
        <f>'TR TUSD'!$Q$5*'TR TUSD'!$Q$60</f>
        <v>0</v>
      </c>
      <c r="R5" s="13">
        <f>'TR TUSD'!$R$5*'TR TUSD'!$R$60</f>
        <v>0</v>
      </c>
      <c r="S5" s="13">
        <f>'TR TUSD'!$S$5*'TR TUSD'!$S$60</f>
        <v>0</v>
      </c>
      <c r="T5" s="13">
        <f ca="1">SUM($L$5:$S$5)</f>
        <v>0</v>
      </c>
      <c r="U5" s="13">
        <f>'TR TUSD'!$U$5*'TR TUSD'!$U$60</f>
        <v>0</v>
      </c>
      <c r="V5" s="13">
        <f>'TR TUSD'!$V$5*'TR TUSD'!$V$60</f>
        <v>0</v>
      </c>
      <c r="W5" s="13">
        <f>'TR TUSD'!$W$5*'TR TUSD'!$W$60</f>
        <v>0</v>
      </c>
      <c r="X5" s="13">
        <f>'TR TUSD'!$X$5*'TR TUSD'!$X$60</f>
        <v>0</v>
      </c>
      <c r="Y5" s="13">
        <f>'TR TUSD'!$Y$5*'TR TUSD'!$Y$60</f>
        <v>30.570913078140439</v>
      </c>
      <c r="Z5" s="13">
        <f>'TR TUSD'!$Z$5</f>
        <v>0</v>
      </c>
      <c r="AA5" s="13">
        <f>'TR TUSD'!$AA$5</f>
        <v>0</v>
      </c>
      <c r="AB5" s="13">
        <f>SUM($U$5:$AA$5)</f>
        <v>30.570913078140439</v>
      </c>
      <c r="AC5" s="13">
        <f>'TR TUSD'!$AC$5*'TR TUSD'!$AC$60</f>
        <v>46.667202419335652</v>
      </c>
      <c r="AD5" s="13">
        <f>SUM($AC$5:$AC$5)</f>
        <v>46.667202419335652</v>
      </c>
      <c r="AE5" s="13">
        <v>0</v>
      </c>
      <c r="AF5" s="13">
        <v>0</v>
      </c>
      <c r="AG5" s="13">
        <f>SUM($AE$5:$AF$5)</f>
        <v>0</v>
      </c>
      <c r="AH5" s="13">
        <f>'TR TUSD'!$AH$5*'TR TUSD'!$AH$60</f>
        <v>0</v>
      </c>
      <c r="AI5" s="13">
        <f>'TR TUSD'!$AI$5*'TR TUSD'!$AI$60</f>
        <v>0</v>
      </c>
      <c r="AJ5" s="13">
        <f ca="1">'TR TUSD'!$AJ$5*'TR TUSD'!$AJ$60</f>
        <v>0</v>
      </c>
      <c r="AK5" s="13">
        <f ca="1">'TR TUSD'!$AK$5*'TR TUSD'!$AK$60</f>
        <v>0</v>
      </c>
      <c r="AL5" s="13">
        <f ca="1">SUM($AH$5:$AK$5)</f>
        <v>0</v>
      </c>
      <c r="AM5" s="13">
        <f ca="1">SUMIF($L$4:$AL$4,"SUBTOTAL",$L$5:$AL$5)</f>
        <v>77.238115497476088</v>
      </c>
      <c r="AP5" s="13">
        <v>1</v>
      </c>
    </row>
    <row r="6" spans="1:42" ht="11.25" customHeight="1" x14ac:dyDescent="0.3">
      <c r="A6" s="91"/>
      <c r="B6" s="91"/>
      <c r="C6" s="91"/>
      <c r="D6" s="91"/>
      <c r="E6" s="91"/>
      <c r="F6" s="91"/>
      <c r="G6" s="18" t="s">
        <v>73</v>
      </c>
      <c r="H6" s="18" t="s">
        <v>71</v>
      </c>
      <c r="I6" s="18">
        <f>'MERCADO TUSD'!$U$3</f>
        <v>8328</v>
      </c>
      <c r="J6" s="15"/>
      <c r="L6" s="13">
        <f>'TR TUSD'!$L$6*'TR TUSD'!$L$60</f>
        <v>0</v>
      </c>
      <c r="M6" s="13">
        <f>'TR TUSD'!$M$6*'TR TUSD'!$M$60</f>
        <v>0</v>
      </c>
      <c r="N6" s="13">
        <f ca="1">'TR TUSD'!$N$6*'TR TUSD'!$N$60</f>
        <v>0</v>
      </c>
      <c r="O6" s="13">
        <f>'TR TUSD'!$O$6*'TR TUSD'!$O$60</f>
        <v>0</v>
      </c>
      <c r="P6" s="13">
        <f>'TR TUSD'!$P$6*'TR TUSD'!$P$60</f>
        <v>0</v>
      </c>
      <c r="Q6" s="13">
        <f>'TR TUSD'!$Q$6*'TR TUSD'!$Q$60</f>
        <v>0</v>
      </c>
      <c r="R6" s="13">
        <f>'TR TUSD'!$R$6*'TR TUSD'!$R$60</f>
        <v>0</v>
      </c>
      <c r="S6" s="13">
        <f>'TR TUSD'!$S$6*'TR TUSD'!$S$60</f>
        <v>0</v>
      </c>
      <c r="T6" s="13">
        <f ca="1">SUM($L$6:$S$6)</f>
        <v>0</v>
      </c>
      <c r="U6" s="13">
        <f>'TR TUSD'!$U$6*'TR TUSD'!$U$60</f>
        <v>0</v>
      </c>
      <c r="V6" s="13">
        <f>'TR TUSD'!$V$6*'TR TUSD'!$V$60</f>
        <v>0</v>
      </c>
      <c r="W6" s="13">
        <f>'TR TUSD'!$W$6*'TR TUSD'!$W$60</f>
        <v>0</v>
      </c>
      <c r="X6" s="13">
        <f>'TR TUSD'!$X$6*'TR TUSD'!$X$60</f>
        <v>0</v>
      </c>
      <c r="Y6" s="13">
        <f>'TR TUSD'!$Y$6*'TR TUSD'!$Y$60</f>
        <v>12.356418501791936</v>
      </c>
      <c r="Z6" s="13">
        <f>'TR TUSD'!$Z$6</f>
        <v>0</v>
      </c>
      <c r="AA6" s="13">
        <f>'TR TUSD'!$AA$6</f>
        <v>0</v>
      </c>
      <c r="AB6" s="13">
        <f>SUM($U$6:$AA$6)</f>
        <v>12.356418501791936</v>
      </c>
      <c r="AC6" s="13">
        <f>'TR TUSD'!$AC$6*'TR TUSD'!$AC$60</f>
        <v>13.040468493452156</v>
      </c>
      <c r="AD6" s="13">
        <f>SUM($AC$6:$AC$6)</f>
        <v>13.040468493452156</v>
      </c>
      <c r="AE6" s="13">
        <v>0</v>
      </c>
      <c r="AF6" s="13">
        <v>0</v>
      </c>
      <c r="AG6" s="13">
        <f>SUM($AE$6:$AF$6)</f>
        <v>0</v>
      </c>
      <c r="AH6" s="13">
        <f>'TR TUSD'!$AH$6*'TR TUSD'!$AH$60</f>
        <v>0</v>
      </c>
      <c r="AI6" s="13">
        <f>'TR TUSD'!$AI$6*'TR TUSD'!$AI$60</f>
        <v>0</v>
      </c>
      <c r="AJ6" s="13">
        <f ca="1">'TR TUSD'!$AJ$6*'TR TUSD'!$AJ$60</f>
        <v>0</v>
      </c>
      <c r="AK6" s="13">
        <f ca="1">'TR TUSD'!$AK$6*'TR TUSD'!$AK$60</f>
        <v>0</v>
      </c>
      <c r="AL6" s="13">
        <f ca="1">SUM($AH$6:$AK$6)</f>
        <v>0</v>
      </c>
      <c r="AM6" s="13">
        <f ca="1">SUMIF($L$4:$AL$4,"SUBTOTAL",$L$6:$AL$6)</f>
        <v>25.396886995244092</v>
      </c>
      <c r="AP6" s="13">
        <v>1</v>
      </c>
    </row>
    <row r="7" spans="1:42" ht="11.25" customHeight="1" x14ac:dyDescent="0.3">
      <c r="A7" s="91"/>
      <c r="B7" s="91"/>
      <c r="C7" s="91"/>
      <c r="D7" s="91"/>
      <c r="E7" s="91"/>
      <c r="F7" s="91"/>
      <c r="G7" s="18" t="s">
        <v>74</v>
      </c>
      <c r="H7" s="18" t="s">
        <v>68</v>
      </c>
      <c r="I7" s="18">
        <f>'MERCADO TUSD'!$U$4</f>
        <v>2993.7760000000003</v>
      </c>
      <c r="J7" s="15"/>
      <c r="L7" s="13">
        <f>'TR TUSD'!$L$7*'TR TUSD'!$L$60</f>
        <v>0</v>
      </c>
      <c r="M7" s="13">
        <f>'TR TUSD'!$M$7*'TR TUSD'!$M$60</f>
        <v>0.63238140126241915</v>
      </c>
      <c r="N7" s="13">
        <f ca="1">'TR TUSD'!$N$7*'TR TUSD'!$N$60</f>
        <v>0</v>
      </c>
      <c r="O7" s="13">
        <f>'TR TUSD'!$O$7*'TR TUSD'!$O$60</f>
        <v>0</v>
      </c>
      <c r="P7" s="13">
        <f>'TR TUSD'!$P$7*'TR TUSD'!$P$60</f>
        <v>0</v>
      </c>
      <c r="Q7" s="13">
        <f>'TR TUSD'!$Q$7*'TR TUSD'!$Q$60</f>
        <v>75.58182955097837</v>
      </c>
      <c r="R7" s="13">
        <f>'TR TUSD'!$R$7*'TR TUSD'!$R$60</f>
        <v>14.218765878443092</v>
      </c>
      <c r="S7" s="13">
        <f>'TR TUSD'!$S$7*'TR TUSD'!$S$60</f>
        <v>0</v>
      </c>
      <c r="T7" s="13">
        <f ca="1">SUM($L$7:$S$7)</f>
        <v>90.432976830683884</v>
      </c>
      <c r="U7" s="13">
        <f>'TR TUSD'!$U$7*'TR TUSD'!$U$60</f>
        <v>0</v>
      </c>
      <c r="V7" s="13">
        <f>'TR TUSD'!$V$7*'TR TUSD'!$V$60</f>
        <v>0</v>
      </c>
      <c r="W7" s="13">
        <f>'TR TUSD'!$W$7*'TR TUSD'!$W$60</f>
        <v>0</v>
      </c>
      <c r="X7" s="13">
        <f>'TR TUSD'!$X$7*'TR TUSD'!$X$60</f>
        <v>0</v>
      </c>
      <c r="Y7" s="13">
        <f>'TR TUSD'!$Y$7*'TR TUSD'!$Y$60</f>
        <v>0</v>
      </c>
      <c r="Z7" s="13">
        <f>'TR TUSD'!$Z$7</f>
        <v>0</v>
      </c>
      <c r="AA7" s="13">
        <f>'TR TUSD'!$AA$7</f>
        <v>0</v>
      </c>
      <c r="AB7" s="13">
        <f>SUM($U$7:$AA$7)</f>
        <v>0</v>
      </c>
      <c r="AC7" s="13">
        <f>'TR TUSD'!$AC$7*'TR TUSD'!$AC$60</f>
        <v>0</v>
      </c>
      <c r="AD7" s="13">
        <f>SUM($AC$7:$AC$7)</f>
        <v>0</v>
      </c>
      <c r="AE7" s="13">
        <v>0</v>
      </c>
      <c r="AF7" s="13">
        <v>0</v>
      </c>
      <c r="AG7" s="13">
        <f>SUM($AE$7:$AF$7)</f>
        <v>0</v>
      </c>
      <c r="AH7" s="13">
        <f>'TR TUSD'!$AH$7*'TR TUSD'!$AH$60</f>
        <v>6.5321786614268165</v>
      </c>
      <c r="AI7" s="13">
        <f>'TR TUSD'!$AI$7*'TR TUSD'!$AI$60</f>
        <v>0</v>
      </c>
      <c r="AJ7" s="13">
        <f ca="1">'TR TUSD'!$AJ$7*'TR TUSD'!$AJ$60</f>
        <v>0</v>
      </c>
      <c r="AK7" s="13">
        <f ca="1">'TR TUSD'!$AK$7*'TR TUSD'!$AK$60</f>
        <v>0</v>
      </c>
      <c r="AL7" s="13">
        <f ca="1">SUM($AH$7:$AK$7)</f>
        <v>6.5321786614268165</v>
      </c>
      <c r="AM7" s="13">
        <f ca="1">SUMIF($L$4:$AL$4,"SUBTOTAL",$L$7:$AL$7)</f>
        <v>96.965155492110696</v>
      </c>
      <c r="AP7" s="13">
        <v>1</v>
      </c>
    </row>
    <row r="8" spans="1:42" ht="11.25" customHeight="1" x14ac:dyDescent="0.3">
      <c r="A8" s="91"/>
      <c r="B8" s="91"/>
      <c r="C8" s="91"/>
      <c r="D8" s="91"/>
      <c r="E8" s="17" t="s">
        <v>75</v>
      </c>
      <c r="F8" s="17" t="s">
        <v>25</v>
      </c>
      <c r="G8" s="18" t="s">
        <v>74</v>
      </c>
      <c r="H8" s="18" t="s">
        <v>68</v>
      </c>
      <c r="I8" s="18">
        <f>'MERCADO TUSD'!$U$5</f>
        <v>0</v>
      </c>
      <c r="J8" s="15"/>
      <c r="L8" s="13">
        <f>'TR TUSD'!$L$8*'TR TUSD'!$L$60</f>
        <v>0</v>
      </c>
      <c r="M8" s="13">
        <f>'TR TUSD'!$M$8*'TR TUSD'!$M$60</f>
        <v>0.63238140126241915</v>
      </c>
      <c r="N8" s="13">
        <f ca="1">'TR TUSD'!$N$8*'TR TUSD'!$N$60</f>
        <v>0</v>
      </c>
      <c r="O8" s="13">
        <f>'TR TUSD'!$O$8*'TR TUSD'!$O$60</f>
        <v>0</v>
      </c>
      <c r="P8" s="13">
        <f>'TR TUSD'!$P$8*'TR TUSD'!$P$60</f>
        <v>0</v>
      </c>
      <c r="Q8" s="13">
        <f>'TR TUSD'!$Q$8*'TR TUSD'!$Q$60</f>
        <v>0</v>
      </c>
      <c r="R8" s="13">
        <f>'TR TUSD'!$R$8*'TR TUSD'!$R$60</f>
        <v>0</v>
      </c>
      <c r="S8" s="13">
        <f>'TR TUSD'!$S$8*'TR TUSD'!$S$60</f>
        <v>0</v>
      </c>
      <c r="T8" s="13">
        <f ca="1">SUM($L$8:$S$8)</f>
        <v>0.63238140126241915</v>
      </c>
      <c r="U8" s="13">
        <f>'TR TUSD'!$U$8*'TR TUSD'!$U$60</f>
        <v>0</v>
      </c>
      <c r="V8" s="13">
        <f>'TR TUSD'!$V$8*'TR TUSD'!$V$60</f>
        <v>0</v>
      </c>
      <c r="W8" s="13">
        <f>'TR TUSD'!$W$8*'TR TUSD'!$W$60</f>
        <v>0</v>
      </c>
      <c r="X8" s="13">
        <f>'TR TUSD'!$X$8*'TR TUSD'!$X$60</f>
        <v>0</v>
      </c>
      <c r="Y8" s="13">
        <f>'TR TUSD'!$Y$8*'TR TUSD'!$Y$60</f>
        <v>0</v>
      </c>
      <c r="Z8" s="13">
        <f>'TR TUSD'!$Z$8</f>
        <v>0</v>
      </c>
      <c r="AA8" s="13">
        <f>'TR TUSD'!$AA$8</f>
        <v>0</v>
      </c>
      <c r="AB8" s="13">
        <f>SUM($U$8:$AA$8)</f>
        <v>0</v>
      </c>
      <c r="AC8" s="13">
        <f>'TR TUSD'!$AC$8*'TR TUSD'!$AC$60</f>
        <v>0</v>
      </c>
      <c r="AD8" s="13">
        <f>SUM($AC$8:$AC$8)</f>
        <v>0</v>
      </c>
      <c r="AE8" s="13">
        <v>0</v>
      </c>
      <c r="AF8" s="13">
        <v>0</v>
      </c>
      <c r="AG8" s="13">
        <f>SUM($AE$8:$AF$8)</f>
        <v>0</v>
      </c>
      <c r="AH8" s="13">
        <f>'TR TUSD'!$AH$8*'TR TUSD'!$AH$60</f>
        <v>6.5321786614268165</v>
      </c>
      <c r="AI8" s="13">
        <f>'TR TUSD'!$AI$8*'TR TUSD'!$AI$60</f>
        <v>0</v>
      </c>
      <c r="AJ8" s="13">
        <f ca="1">'TR TUSD'!$AJ$8*'TR TUSD'!$AJ$60</f>
        <v>0</v>
      </c>
      <c r="AK8" s="13">
        <f ca="1">'TR TUSD'!$AK$8*'TR TUSD'!$AK$60</f>
        <v>0</v>
      </c>
      <c r="AL8" s="13">
        <f ca="1">SUM($AH$8:$AK$8)</f>
        <v>6.5321786614268165</v>
      </c>
      <c r="AM8" s="13">
        <f ca="1">SUMIF($L$4:$AL$4,"SUBTOTAL",$L$8:$AL$8)</f>
        <v>7.1645600626892358</v>
      </c>
      <c r="AP8" s="13">
        <v>1</v>
      </c>
    </row>
    <row r="9" spans="1:42" ht="11.25" customHeight="1" x14ac:dyDescent="0.3">
      <c r="A9" s="91"/>
      <c r="B9" s="17" t="s">
        <v>76</v>
      </c>
      <c r="C9" s="17" t="s">
        <v>25</v>
      </c>
      <c r="D9" s="17" t="s">
        <v>25</v>
      </c>
      <c r="E9" s="17" t="s">
        <v>25</v>
      </c>
      <c r="F9" s="17" t="s">
        <v>25</v>
      </c>
      <c r="G9" s="18" t="s">
        <v>9</v>
      </c>
      <c r="H9" s="18" t="s">
        <v>71</v>
      </c>
      <c r="I9" s="18">
        <f>'MERCADO TUSD'!$U$6</f>
        <v>0</v>
      </c>
      <c r="J9" s="15"/>
      <c r="L9" s="13">
        <f>'TR TUSD'!$L$9*'TR TUSD'!$L$60</f>
        <v>0</v>
      </c>
      <c r="M9" s="13">
        <f>'TR TUSD'!$M$9*'TR TUSD'!$M$60</f>
        <v>1.0277011151370119E-2</v>
      </c>
      <c r="N9" s="13">
        <f ca="1">'TR TUSD'!$N$9*'TR TUSD'!$N$60</f>
        <v>0</v>
      </c>
      <c r="O9" s="13">
        <f>'TR TUSD'!$O$9*'TR TUSD'!$O$60</f>
        <v>0</v>
      </c>
      <c r="P9" s="13">
        <f>'TR TUSD'!$P$9*'TR TUSD'!$P$60</f>
        <v>0</v>
      </c>
      <c r="Q9" s="13">
        <f>'TR TUSD'!$Q$9*'TR TUSD'!$Q$60</f>
        <v>0</v>
      </c>
      <c r="R9" s="13">
        <f>'TR TUSD'!$R$9*'TR TUSD'!$R$60</f>
        <v>0</v>
      </c>
      <c r="S9" s="13">
        <f>'TR TUSD'!$S$9*'TR TUSD'!$S$60</f>
        <v>0</v>
      </c>
      <c r="T9" s="13">
        <f ca="1">SUM($L$9:$S$9)</f>
        <v>1.0277011151370119E-2</v>
      </c>
      <c r="U9" s="13">
        <f>'TR TUSD'!$U$9*'TR TUSD'!$U$60</f>
        <v>0</v>
      </c>
      <c r="V9" s="13">
        <f>'TR TUSD'!$V$9*'TR TUSD'!$V$60</f>
        <v>0</v>
      </c>
      <c r="W9" s="13">
        <f>'TR TUSD'!$W$9*'TR TUSD'!$W$60</f>
        <v>0</v>
      </c>
      <c r="X9" s="13">
        <f>'TR TUSD'!$X$9*'TR TUSD'!$X$60</f>
        <v>0</v>
      </c>
      <c r="Y9" s="13">
        <f>'TR TUSD'!$Y$9*'TR TUSD'!$Y$60</f>
        <v>0</v>
      </c>
      <c r="Z9" s="13">
        <f>'TR TUSD'!$Z$9*'TR TUSD'!$Z$60</f>
        <v>0</v>
      </c>
      <c r="AA9" s="13">
        <f>'TR TUSD'!$AA$9*'TR TUSD'!$AA$60</f>
        <v>0</v>
      </c>
      <c r="AB9" s="13">
        <f>SUM($U$9:$AA$9)</f>
        <v>0</v>
      </c>
      <c r="AC9" s="13">
        <f>'TR TUSD'!$AC$9*'TR TUSD'!$AC$60</f>
        <v>5.8994235996437823</v>
      </c>
      <c r="AD9" s="13">
        <f>SUM($AC$9:$AC$9)</f>
        <v>5.8994235996437823</v>
      </c>
      <c r="AE9" s="13">
        <v>0</v>
      </c>
      <c r="AF9" s="13">
        <v>0</v>
      </c>
      <c r="AG9" s="13">
        <f>SUM($AE$9:$AF$9)</f>
        <v>0</v>
      </c>
      <c r="AH9" s="13">
        <f>'TR TUSD'!$AH$9*'TR TUSD'!$AH$60</f>
        <v>0</v>
      </c>
      <c r="AI9" s="13">
        <f>'TR TUSD'!$AI$9*'TR TUSD'!$AI$60</f>
        <v>0</v>
      </c>
      <c r="AJ9" s="13">
        <f ca="1">'TR TUSD'!$AJ$9*'TR TUSD'!$AJ$60</f>
        <v>0</v>
      </c>
      <c r="AK9" s="13">
        <f ca="1">'TR TUSD'!$AK$9*'TR TUSD'!$AK$60</f>
        <v>0</v>
      </c>
      <c r="AL9" s="13">
        <f ca="1">SUM($AH$9:$AK$9)</f>
        <v>0</v>
      </c>
      <c r="AM9" s="13">
        <f ca="1">SUMIF($L$4:$AL$4,"SUBTOTAL",$L$9:$AL$9)</f>
        <v>5.9097006107951522</v>
      </c>
      <c r="AP9" s="13"/>
    </row>
    <row r="10" spans="1:42" ht="11.25" customHeight="1" x14ac:dyDescent="0.3">
      <c r="A10" s="91"/>
      <c r="B10" s="91" t="s">
        <v>37</v>
      </c>
      <c r="C10" s="91" t="s">
        <v>25</v>
      </c>
      <c r="D10" s="91" t="s">
        <v>25</v>
      </c>
      <c r="E10" s="91" t="s">
        <v>25</v>
      </c>
      <c r="F10" s="91" t="s">
        <v>25</v>
      </c>
      <c r="G10" s="18" t="s">
        <v>9</v>
      </c>
      <c r="H10" s="18" t="s">
        <v>71</v>
      </c>
      <c r="I10" s="18">
        <f>'MERCADO TUSD'!$U$7</f>
        <v>36616</v>
      </c>
      <c r="J10" s="15"/>
      <c r="L10" s="13">
        <f>'TR TUSD'!$L$10*'TR TUSD'!$L$60</f>
        <v>0</v>
      </c>
      <c r="M10" s="13">
        <f>'TR TUSD'!$M$10*'TR TUSD'!$M$60</f>
        <v>0</v>
      </c>
      <c r="N10" s="13">
        <f ca="1">'TR TUSD'!$N$10*'TR TUSD'!$N$60</f>
        <v>0</v>
      </c>
      <c r="O10" s="13">
        <f>'TR TUSD'!$O$10*'TR TUSD'!$O$60</f>
        <v>0</v>
      </c>
      <c r="P10" s="13">
        <f>'TR TUSD'!$P$10*'TR TUSD'!$P$60</f>
        <v>0</v>
      </c>
      <c r="Q10" s="13">
        <f>'TR TUSD'!$Q$10*'TR TUSD'!$Q$60</f>
        <v>0</v>
      </c>
      <c r="R10" s="13">
        <f>'TR TUSD'!$R$10*'TR TUSD'!$R$60</f>
        <v>0</v>
      </c>
      <c r="S10" s="13">
        <f>'TR TUSD'!$S$10*'TR TUSD'!$S$60</f>
        <v>0</v>
      </c>
      <c r="T10" s="13">
        <f ca="1">SUM($L$10:$S$10)</f>
        <v>0</v>
      </c>
      <c r="U10" s="13">
        <f>'TR TUSD'!$U$10*'TR TUSD'!$U$60</f>
        <v>0</v>
      </c>
      <c r="V10" s="13">
        <f>'TR TUSD'!$V$10*'TR TUSD'!$V$60</f>
        <v>0</v>
      </c>
      <c r="W10" s="13">
        <f>'TR TUSD'!$W$10*'TR TUSD'!$W$60</f>
        <v>0</v>
      </c>
      <c r="X10" s="13">
        <f>'TR TUSD'!$X$10*'TR TUSD'!$X$60</f>
        <v>0</v>
      </c>
      <c r="Y10" s="13">
        <f>'TR TUSD'!$Y$10*'TR TUSD'!$Y$60</f>
        <v>12.356418501791936</v>
      </c>
      <c r="Z10" s="13">
        <f>'TR TUSD'!$Z$10</f>
        <v>0</v>
      </c>
      <c r="AA10" s="13">
        <f>'TR TUSD'!$AA$10</f>
        <v>0</v>
      </c>
      <c r="AB10" s="13">
        <f>SUM($U$10:$AA$10)</f>
        <v>12.356418501791936</v>
      </c>
      <c r="AC10" s="13">
        <f>'TR TUSD'!$AC$10*'TR TUSD'!$AC$60</f>
        <v>13.040468493452156</v>
      </c>
      <c r="AD10" s="13">
        <f>SUM($AC$10:$AC$10)</f>
        <v>13.040468493452156</v>
      </c>
      <c r="AE10" s="13">
        <v>0</v>
      </c>
      <c r="AF10" s="13">
        <v>0</v>
      </c>
      <c r="AG10" s="13">
        <f>SUM($AE$10:$AF$10)</f>
        <v>0</v>
      </c>
      <c r="AH10" s="13">
        <f>'TR TUSD'!$AH$10*'TR TUSD'!$AH$60</f>
        <v>0</v>
      </c>
      <c r="AI10" s="13">
        <f>'TR TUSD'!$AI$10*'TR TUSD'!$AI$60</f>
        <v>0</v>
      </c>
      <c r="AJ10" s="13">
        <f ca="1">'TR TUSD'!$AJ$10*'TR TUSD'!$AJ$60</f>
        <v>0</v>
      </c>
      <c r="AK10" s="13">
        <f ca="1">'TR TUSD'!$AK$10*'TR TUSD'!$AK$60</f>
        <v>0</v>
      </c>
      <c r="AL10" s="13">
        <f ca="1">SUM($AH$10:$AK$10)</f>
        <v>0</v>
      </c>
      <c r="AM10" s="13">
        <f ca="1">SUMIF($L$4:$AL$4,"SUBTOTAL",$L$10:$AL$10)</f>
        <v>25.396886995244092</v>
      </c>
      <c r="AP10" s="13">
        <v>1</v>
      </c>
    </row>
    <row r="11" spans="1:42" ht="11.25" customHeight="1" x14ac:dyDescent="0.3">
      <c r="A11" s="91"/>
      <c r="B11" s="91"/>
      <c r="C11" s="91"/>
      <c r="D11" s="91"/>
      <c r="E11" s="91"/>
      <c r="F11" s="91"/>
      <c r="G11" s="18" t="s">
        <v>69</v>
      </c>
      <c r="H11" s="18" t="s">
        <v>68</v>
      </c>
      <c r="I11" s="18">
        <f>'MERCADO TUSD'!$U$8</f>
        <v>561.45399999999995</v>
      </c>
      <c r="J11" s="15"/>
      <c r="L11" s="13">
        <f>'TR TUSD'!$L$11*'TR TUSD'!$L$60</f>
        <v>0</v>
      </c>
      <c r="M11" s="13">
        <f>'TR TUSD'!$M$11*'TR TUSD'!$M$60</f>
        <v>0.63238140126241915</v>
      </c>
      <c r="N11" s="13">
        <f ca="1">'TR TUSD'!$N$11*'TR TUSD'!$N$60</f>
        <v>0</v>
      </c>
      <c r="O11" s="13">
        <f>'TR TUSD'!$O$11*'TR TUSD'!$O$60</f>
        <v>0</v>
      </c>
      <c r="P11" s="13">
        <f>'TR TUSD'!$P$11*'TR TUSD'!$P$60</f>
        <v>0</v>
      </c>
      <c r="Q11" s="13">
        <f>'TR TUSD'!$Q$11*'TR TUSD'!$Q$60</f>
        <v>75.58182955097837</v>
      </c>
      <c r="R11" s="13">
        <f>'TR TUSD'!$R$11*'TR TUSD'!$R$60</f>
        <v>14.218765878443092</v>
      </c>
      <c r="S11" s="13">
        <f>'TR TUSD'!$S$11*'TR TUSD'!$S$60</f>
        <v>0</v>
      </c>
      <c r="T11" s="13">
        <f ca="1">SUM($L$11:$S$11)</f>
        <v>90.432976830683884</v>
      </c>
      <c r="U11" s="13">
        <f>'TR TUSD'!$U$11*'TR TUSD'!$U$60</f>
        <v>0</v>
      </c>
      <c r="V11" s="13">
        <f>'TR TUSD'!$V$11*'TR TUSD'!$V$60</f>
        <v>0</v>
      </c>
      <c r="W11" s="13">
        <f>'TR TUSD'!$W$11*'TR TUSD'!$W$60</f>
        <v>0</v>
      </c>
      <c r="X11" s="13">
        <f>'TR TUSD'!$X$11*'TR TUSD'!$X$60</f>
        <v>0</v>
      </c>
      <c r="Y11" s="13">
        <f>'TR TUSD'!$Y$11*'TR TUSD'!$Y$60</f>
        <v>735.52542935538406</v>
      </c>
      <c r="Z11" s="13">
        <f>'TR TUSD'!$Z$11</f>
        <v>0</v>
      </c>
      <c r="AA11" s="13">
        <f>'TR TUSD'!$AA$11</f>
        <v>0</v>
      </c>
      <c r="AB11" s="13">
        <f>SUM($U$11:$AA$11)</f>
        <v>735.52542935538406</v>
      </c>
      <c r="AC11" s="13">
        <f>'TR TUSD'!$AC$11*'TR TUSD'!$AC$60</f>
        <v>1122.3465626754949</v>
      </c>
      <c r="AD11" s="13">
        <f>SUM($AC$11:$AC$11)</f>
        <v>1122.3465626754949</v>
      </c>
      <c r="AE11" s="13">
        <v>0</v>
      </c>
      <c r="AF11" s="13">
        <v>0</v>
      </c>
      <c r="AG11" s="13">
        <f>SUM($AE$11:$AF$11)</f>
        <v>0</v>
      </c>
      <c r="AH11" s="13">
        <f>'TR TUSD'!$AH$11*'TR TUSD'!$AH$60</f>
        <v>6.5321786614268165</v>
      </c>
      <c r="AI11" s="13">
        <f>'TR TUSD'!$AI$11*'TR TUSD'!$AI$60</f>
        <v>0</v>
      </c>
      <c r="AJ11" s="13">
        <f ca="1">'TR TUSD'!$AJ$11*'TR TUSD'!$AJ$60</f>
        <v>0</v>
      </c>
      <c r="AK11" s="13">
        <f ca="1">'TR TUSD'!$AK$11*'TR TUSD'!$AK$60</f>
        <v>0</v>
      </c>
      <c r="AL11" s="13">
        <f ca="1">SUM($AH$11:$AK$11)</f>
        <v>6.5321786614268165</v>
      </c>
      <c r="AM11" s="13">
        <f ca="1">SUMIF($L$4:$AL$4,"SUBTOTAL",$L$11:$AL$11)</f>
        <v>1954.8371475229897</v>
      </c>
      <c r="AP11" s="13">
        <v>1</v>
      </c>
    </row>
    <row r="12" spans="1:42" ht="11.25" customHeight="1" x14ac:dyDescent="0.3">
      <c r="A12" s="91"/>
      <c r="B12" s="91"/>
      <c r="C12" s="91"/>
      <c r="D12" s="91"/>
      <c r="E12" s="91"/>
      <c r="F12" s="91"/>
      <c r="G12" s="18" t="s">
        <v>70</v>
      </c>
      <c r="H12" s="18" t="s">
        <v>68</v>
      </c>
      <c r="I12" s="18">
        <f>'MERCADO TUSD'!$U$9</f>
        <v>7702.3809999999985</v>
      </c>
      <c r="J12" s="15"/>
      <c r="L12" s="13">
        <f>'TR TUSD'!$L$12*'TR TUSD'!$L$60</f>
        <v>0</v>
      </c>
      <c r="M12" s="13">
        <f>'TR TUSD'!$M$12*'TR TUSD'!$M$60</f>
        <v>0.63238140126241915</v>
      </c>
      <c r="N12" s="13">
        <f ca="1">'TR TUSD'!$N$12*'TR TUSD'!$N$60</f>
        <v>0</v>
      </c>
      <c r="O12" s="13">
        <f>'TR TUSD'!$O$12*'TR TUSD'!$O$60</f>
        <v>0</v>
      </c>
      <c r="P12" s="13">
        <f>'TR TUSD'!$P$12*'TR TUSD'!$P$60</f>
        <v>0</v>
      </c>
      <c r="Q12" s="13">
        <f>'TR TUSD'!$Q$12*'TR TUSD'!$Q$60</f>
        <v>75.58182955097837</v>
      </c>
      <c r="R12" s="13">
        <f>'TR TUSD'!$R$12*'TR TUSD'!$R$60</f>
        <v>14.218765878443092</v>
      </c>
      <c r="S12" s="13">
        <f>'TR TUSD'!$S$12*'TR TUSD'!$S$60</f>
        <v>0</v>
      </c>
      <c r="T12" s="13">
        <f ca="1">SUM($L$12:$S$12)</f>
        <v>90.432976830683884</v>
      </c>
      <c r="U12" s="13">
        <f>'TR TUSD'!$U$12*'TR TUSD'!$U$60</f>
        <v>0</v>
      </c>
      <c r="V12" s="13">
        <f>'TR TUSD'!$V$12*'TR TUSD'!$V$60</f>
        <v>0</v>
      </c>
      <c r="W12" s="13">
        <f>'TR TUSD'!$W$12*'TR TUSD'!$W$60</f>
        <v>0</v>
      </c>
      <c r="X12" s="13">
        <f>'TR TUSD'!$X$12*'TR TUSD'!$X$60</f>
        <v>0</v>
      </c>
      <c r="Y12" s="13">
        <f>'TR TUSD'!$Y$12*'TR TUSD'!$Y$60</f>
        <v>0</v>
      </c>
      <c r="Z12" s="13">
        <f>'TR TUSD'!$Z$12</f>
        <v>0</v>
      </c>
      <c r="AA12" s="13">
        <f>'TR TUSD'!$AA$12</f>
        <v>0</v>
      </c>
      <c r="AB12" s="13">
        <f>SUM($U$12:$AA$12)</f>
        <v>0</v>
      </c>
      <c r="AC12" s="13">
        <f>'TR TUSD'!$AC$12*'TR TUSD'!$AC$60</f>
        <v>0</v>
      </c>
      <c r="AD12" s="13">
        <f>SUM($AC$12:$AC$12)</f>
        <v>0</v>
      </c>
      <c r="AE12" s="13">
        <v>0</v>
      </c>
      <c r="AF12" s="13">
        <v>0</v>
      </c>
      <c r="AG12" s="13">
        <f>SUM($AE$12:$AF$12)</f>
        <v>0</v>
      </c>
      <c r="AH12" s="13">
        <f>'TR TUSD'!$AH$12*'TR TUSD'!$AH$60</f>
        <v>6.5321786614268165</v>
      </c>
      <c r="AI12" s="13">
        <f>'TR TUSD'!$AI$12*'TR TUSD'!$AI$60</f>
        <v>0</v>
      </c>
      <c r="AJ12" s="13">
        <f ca="1">'TR TUSD'!$AJ$12*'TR TUSD'!$AJ$60</f>
        <v>0</v>
      </c>
      <c r="AK12" s="13">
        <f ca="1">'TR TUSD'!$AK$12*'TR TUSD'!$AK$60</f>
        <v>0</v>
      </c>
      <c r="AL12" s="13">
        <f ca="1">SUM($AH$12:$AK$12)</f>
        <v>6.5321786614268165</v>
      </c>
      <c r="AM12" s="13">
        <f ca="1">SUMIF($L$4:$AL$4,"SUBTOTAL",$L$12:$AL$12)</f>
        <v>96.965155492110696</v>
      </c>
      <c r="AP12" s="13">
        <v>1</v>
      </c>
    </row>
    <row r="13" spans="1:42" ht="11.25" customHeight="1" x14ac:dyDescent="0.3">
      <c r="A13" s="91"/>
      <c r="B13" s="91"/>
      <c r="C13" s="91"/>
      <c r="D13" s="91"/>
      <c r="E13" s="91" t="s">
        <v>75</v>
      </c>
      <c r="F13" s="91" t="s">
        <v>25</v>
      </c>
      <c r="G13" s="18" t="s">
        <v>69</v>
      </c>
      <c r="H13" s="18" t="s">
        <v>68</v>
      </c>
      <c r="I13" s="18">
        <f>'MERCADO TUSD'!$U$10</f>
        <v>0</v>
      </c>
      <c r="J13" s="15"/>
      <c r="L13" s="13">
        <f>'TR TUSD'!$L$13*'TR TUSD'!$L$60</f>
        <v>0</v>
      </c>
      <c r="M13" s="13">
        <f>'TR TUSD'!$M$13*'TR TUSD'!$M$60</f>
        <v>0.63238140126241915</v>
      </c>
      <c r="N13" s="13">
        <f ca="1">'TR TUSD'!$N$13*'TR TUSD'!$N$60</f>
        <v>0</v>
      </c>
      <c r="O13" s="13">
        <f>'TR TUSD'!$O$13*'TR TUSD'!$O$60</f>
        <v>0</v>
      </c>
      <c r="P13" s="13">
        <f>'TR TUSD'!$P$13*'TR TUSD'!$P$60</f>
        <v>0</v>
      </c>
      <c r="Q13" s="13">
        <f>'TR TUSD'!$Q$13*'TR TUSD'!$Q$60</f>
        <v>0</v>
      </c>
      <c r="R13" s="13">
        <f>'TR TUSD'!$R$13*'TR TUSD'!$R$60</f>
        <v>0</v>
      </c>
      <c r="S13" s="13">
        <f>'TR TUSD'!$S$13*'TR TUSD'!$S$60</f>
        <v>0</v>
      </c>
      <c r="T13" s="13">
        <f ca="1">SUM($L$13:$S$13)</f>
        <v>0.63238140126241915</v>
      </c>
      <c r="U13" s="13">
        <f>'TR TUSD'!$U$13*'TR TUSD'!$U$60</f>
        <v>0</v>
      </c>
      <c r="V13" s="13">
        <f>'TR TUSD'!$V$13*'TR TUSD'!$V$60</f>
        <v>0</v>
      </c>
      <c r="W13" s="13">
        <f>'TR TUSD'!$W$13*'TR TUSD'!$W$60</f>
        <v>0</v>
      </c>
      <c r="X13" s="13">
        <f>'TR TUSD'!$X$13*'TR TUSD'!$X$60</f>
        <v>0</v>
      </c>
      <c r="Y13" s="13">
        <f>'TR TUSD'!$Y$13*'TR TUSD'!$Y$60</f>
        <v>735.52542935538406</v>
      </c>
      <c r="Z13" s="13">
        <f>'TR TUSD'!$Z$13</f>
        <v>0</v>
      </c>
      <c r="AA13" s="13">
        <f>'TR TUSD'!$AA$13</f>
        <v>0</v>
      </c>
      <c r="AB13" s="13">
        <f>SUM($U$13:$AA$13)</f>
        <v>735.52542935538406</v>
      </c>
      <c r="AC13" s="13">
        <f>'TR TUSD'!$AC$13*'TR TUSD'!$AC$60</f>
        <v>1122.3465626754949</v>
      </c>
      <c r="AD13" s="13">
        <f>SUM($AC$13:$AC$13)</f>
        <v>1122.3465626754949</v>
      </c>
      <c r="AE13" s="13">
        <v>0</v>
      </c>
      <c r="AF13" s="13">
        <v>0</v>
      </c>
      <c r="AG13" s="13">
        <f>SUM($AE$13:$AF$13)</f>
        <v>0</v>
      </c>
      <c r="AH13" s="13">
        <f>'TR TUSD'!$AH$13*'TR TUSD'!$AH$60</f>
        <v>6.5321786614268165</v>
      </c>
      <c r="AI13" s="13">
        <f>'TR TUSD'!$AI$13*'TR TUSD'!$AI$60</f>
        <v>0</v>
      </c>
      <c r="AJ13" s="13">
        <f ca="1">'TR TUSD'!$AJ$13*'TR TUSD'!$AJ$60</f>
        <v>0</v>
      </c>
      <c r="AK13" s="13">
        <f ca="1">'TR TUSD'!$AK$13*'TR TUSD'!$AK$60</f>
        <v>0</v>
      </c>
      <c r="AL13" s="13">
        <f ca="1">SUM($AH$13:$AK$13)</f>
        <v>6.5321786614268165</v>
      </c>
      <c r="AM13" s="13">
        <f ca="1">SUMIF($L$4:$AL$4,"SUBTOTAL",$L$13:$AL$13)</f>
        <v>1865.0365520935679</v>
      </c>
      <c r="AP13" s="13">
        <v>1</v>
      </c>
    </row>
    <row r="14" spans="1:42" ht="11.25" customHeight="1" x14ac:dyDescent="0.3">
      <c r="A14" s="91"/>
      <c r="B14" s="91"/>
      <c r="C14" s="91"/>
      <c r="D14" s="91"/>
      <c r="E14" s="91"/>
      <c r="F14" s="91"/>
      <c r="G14" s="18" t="s">
        <v>70</v>
      </c>
      <c r="H14" s="18" t="s">
        <v>68</v>
      </c>
      <c r="I14" s="18">
        <f>'MERCADO TUSD'!$U$11</f>
        <v>0</v>
      </c>
      <c r="J14" s="15"/>
      <c r="L14" s="13">
        <f>'TR TUSD'!$L$14*'TR TUSD'!$L$60</f>
        <v>0</v>
      </c>
      <c r="M14" s="13">
        <f>'TR TUSD'!$M$14*'TR TUSD'!$M$60</f>
        <v>0.63238140126241915</v>
      </c>
      <c r="N14" s="13">
        <f ca="1">'TR TUSD'!$N$14*'TR TUSD'!$N$60</f>
        <v>0</v>
      </c>
      <c r="O14" s="13">
        <f>'TR TUSD'!$O$14*'TR TUSD'!$O$60</f>
        <v>0</v>
      </c>
      <c r="P14" s="13">
        <f>'TR TUSD'!$P$14*'TR TUSD'!$P$60</f>
        <v>0</v>
      </c>
      <c r="Q14" s="13">
        <f>'TR TUSD'!$Q$14*'TR TUSD'!$Q$60</f>
        <v>0</v>
      </c>
      <c r="R14" s="13">
        <f>'TR TUSD'!$R$14*'TR TUSD'!$R$60</f>
        <v>0</v>
      </c>
      <c r="S14" s="13">
        <f>'TR TUSD'!$S$14*'TR TUSD'!$S$60</f>
        <v>0</v>
      </c>
      <c r="T14" s="13">
        <f ca="1">SUM($L$14:$S$14)</f>
        <v>0.63238140126241915</v>
      </c>
      <c r="U14" s="13">
        <f>'TR TUSD'!$U$14*'TR TUSD'!$U$60</f>
        <v>0</v>
      </c>
      <c r="V14" s="13">
        <f>'TR TUSD'!$V$14*'TR TUSD'!$V$60</f>
        <v>0</v>
      </c>
      <c r="W14" s="13">
        <f>'TR TUSD'!$W$14*'TR TUSD'!$W$60</f>
        <v>0</v>
      </c>
      <c r="X14" s="13">
        <f>'TR TUSD'!$X$14*'TR TUSD'!$X$60</f>
        <v>0</v>
      </c>
      <c r="Y14" s="13">
        <f>'TR TUSD'!$Y$14*'TR TUSD'!$Y$60</f>
        <v>0</v>
      </c>
      <c r="Z14" s="13">
        <f>'TR TUSD'!$Z$14</f>
        <v>0</v>
      </c>
      <c r="AA14" s="13">
        <f>'TR TUSD'!$AA$14</f>
        <v>0</v>
      </c>
      <c r="AB14" s="13">
        <f>SUM($U$14:$AA$14)</f>
        <v>0</v>
      </c>
      <c r="AC14" s="13">
        <f>'TR TUSD'!$AC$14*'TR TUSD'!$AC$60</f>
        <v>0</v>
      </c>
      <c r="AD14" s="13">
        <f>SUM($AC$14:$AC$14)</f>
        <v>0</v>
      </c>
      <c r="AE14" s="13">
        <v>0</v>
      </c>
      <c r="AF14" s="13">
        <v>0</v>
      </c>
      <c r="AG14" s="13">
        <f>SUM($AE$14:$AF$14)</f>
        <v>0</v>
      </c>
      <c r="AH14" s="13">
        <f>'TR TUSD'!$AH$14*'TR TUSD'!$AH$60</f>
        <v>6.5321786614268165</v>
      </c>
      <c r="AI14" s="13">
        <f>'TR TUSD'!$AI$14*'TR TUSD'!$AI$60</f>
        <v>0</v>
      </c>
      <c r="AJ14" s="13">
        <f ca="1">'TR TUSD'!$AJ$14*'TR TUSD'!$AJ$60</f>
        <v>0</v>
      </c>
      <c r="AK14" s="13">
        <f ca="1">'TR TUSD'!$AK$14*'TR TUSD'!$AK$60</f>
        <v>0</v>
      </c>
      <c r="AL14" s="13">
        <f ca="1">SUM($AH$14:$AK$14)</f>
        <v>6.5321786614268165</v>
      </c>
      <c r="AM14" s="13">
        <f ca="1">SUMIF($L$4:$AL$4,"SUBTOTAL",$L$14:$AL$14)</f>
        <v>7.1645600626892358</v>
      </c>
      <c r="AP14" s="13">
        <v>1</v>
      </c>
    </row>
    <row r="15" spans="1:42" ht="11.25" customHeight="1" x14ac:dyDescent="0.3">
      <c r="A15" s="91" t="s">
        <v>77</v>
      </c>
      <c r="B15" s="91" t="s">
        <v>76</v>
      </c>
      <c r="C15" s="91" t="s">
        <v>25</v>
      </c>
      <c r="D15" s="91" t="s">
        <v>25</v>
      </c>
      <c r="E15" s="17" t="s">
        <v>78</v>
      </c>
      <c r="F15" s="17" t="s">
        <v>25</v>
      </c>
      <c r="G15" s="18" t="s">
        <v>9</v>
      </c>
      <c r="H15" s="18" t="s">
        <v>71</v>
      </c>
      <c r="I15" s="18">
        <f>'MERCADO TUSD'!$U$12+0.00000001</f>
        <v>1E-8</v>
      </c>
      <c r="J15" s="15"/>
      <c r="L15" s="13">
        <f>'TR TUSD'!$L$15*'TR TUSD'!$L$60</f>
        <v>0</v>
      </c>
      <c r="M15" s="13">
        <f>'TR TUSD'!$M$15*'TR TUSD'!$M$60</f>
        <v>1.0579276185233945E-2</v>
      </c>
      <c r="N15" s="13">
        <f ca="1">'TR TUSD'!$N$15*'TR TUSD'!$N$60</f>
        <v>0</v>
      </c>
      <c r="O15" s="13">
        <f>'TR TUSD'!$O$15*'TR TUSD'!$O$60</f>
        <v>0</v>
      </c>
      <c r="P15" s="13">
        <f>'TR TUSD'!$P$15*'TR TUSD'!$P$60</f>
        <v>0</v>
      </c>
      <c r="Q15" s="13">
        <f>'TR TUSD'!$Q$15*'TR TUSD'!$Q$60</f>
        <v>0</v>
      </c>
      <c r="R15" s="13">
        <f>'TR TUSD'!$R$15*'TR TUSD'!$R$60</f>
        <v>0</v>
      </c>
      <c r="S15" s="13">
        <f>'TR TUSD'!$S$15*'TR TUSD'!$S$60</f>
        <v>0</v>
      </c>
      <c r="T15" s="13">
        <f ca="1">SUM($L$15:$S$15)</f>
        <v>1.0579276185233945E-2</v>
      </c>
      <c r="U15" s="13">
        <f>'TR TUSD'!$U$15*'TR TUSD'!$U$60</f>
        <v>0</v>
      </c>
      <c r="V15" s="13">
        <f>'TR TUSD'!$V$15*'TR TUSD'!$V$60</f>
        <v>0</v>
      </c>
      <c r="W15" s="13">
        <f>'TR TUSD'!$W$15*'TR TUSD'!$W$60</f>
        <v>0</v>
      </c>
      <c r="X15" s="13">
        <f>'TR TUSD'!$X$15*'TR TUSD'!$X$60</f>
        <v>0</v>
      </c>
      <c r="Y15" s="13">
        <f>'TR TUSD'!$Y$15*'TR TUSD'!$Y$60</f>
        <v>0</v>
      </c>
      <c r="Z15" s="13">
        <f>'TR TUSD'!$Z$15*'TR TUSD'!$Z$60</f>
        <v>0</v>
      </c>
      <c r="AA15" s="13">
        <f>'TR TUSD'!$AA$15*'TR TUSD'!$AA$60</f>
        <v>0</v>
      </c>
      <c r="AB15" s="13">
        <f>SUM($U$15:$AA$15)</f>
        <v>0</v>
      </c>
      <c r="AC15" s="13">
        <f>'TR TUSD'!$AC$15*'TR TUSD'!$AC$60</f>
        <v>6.0852543755972945</v>
      </c>
      <c r="AD15" s="13">
        <f>SUM($AC$15:$AC$15)</f>
        <v>6.0852543755972945</v>
      </c>
      <c r="AE15" s="13">
        <v>0</v>
      </c>
      <c r="AF15" s="13">
        <v>0</v>
      </c>
      <c r="AG15" s="13">
        <f>SUM($AE$15:$AF$15)</f>
        <v>0</v>
      </c>
      <c r="AH15" s="13">
        <f>'TR TUSD'!$AH$15*'TR TUSD'!$AH$60</f>
        <v>0</v>
      </c>
      <c r="AI15" s="13">
        <f>'TR TUSD'!$AI$15*'TR TUSD'!$AI$60</f>
        <v>0</v>
      </c>
      <c r="AJ15" s="13">
        <f ca="1">'TR TUSD'!$AJ$15*'TR TUSD'!$AJ$60</f>
        <v>0</v>
      </c>
      <c r="AK15" s="13">
        <f ca="1">'TR TUSD'!$AK$15*'TR TUSD'!$AK$60</f>
        <v>0</v>
      </c>
      <c r="AL15" s="13">
        <f ca="1">SUM($AH$15:$AK$15)</f>
        <v>0</v>
      </c>
      <c r="AM15" s="13">
        <f ca="1">SUMIF($L$4:$AL$4,"SUBTOTAL",$L$15:$AL$15)</f>
        <v>6.0958336517825282</v>
      </c>
      <c r="AP15" s="13"/>
    </row>
    <row r="16" spans="1:42" ht="11.25" customHeight="1" x14ac:dyDescent="0.3">
      <c r="A16" s="91"/>
      <c r="B16" s="91"/>
      <c r="C16" s="91"/>
      <c r="D16" s="91"/>
      <c r="E16" s="17" t="s">
        <v>79</v>
      </c>
      <c r="F16" s="17" t="s">
        <v>25</v>
      </c>
      <c r="G16" s="18" t="s">
        <v>9</v>
      </c>
      <c r="H16" s="18" t="s">
        <v>71</v>
      </c>
      <c r="I16" s="18">
        <f>'MERCADO TUSD'!$U$13+0.00000001</f>
        <v>1E-8</v>
      </c>
      <c r="J16" s="15"/>
      <c r="L16" s="13">
        <f>'TR TUSD'!$L$16*'TR TUSD'!$L$60</f>
        <v>0</v>
      </c>
      <c r="M16" s="13">
        <f>'TR TUSD'!$M$16*'TR TUSD'!$M$60</f>
        <v>1.0579276185233945E-2</v>
      </c>
      <c r="N16" s="13">
        <f ca="1">'TR TUSD'!$N$16*'TR TUSD'!$N$60</f>
        <v>0</v>
      </c>
      <c r="O16" s="13">
        <f>'TR TUSD'!$O$16*'TR TUSD'!$O$60</f>
        <v>0</v>
      </c>
      <c r="P16" s="13">
        <f>'TR TUSD'!$P$16*'TR TUSD'!$P$60</f>
        <v>0</v>
      </c>
      <c r="Q16" s="13">
        <f>'TR TUSD'!$Q$16*'TR TUSD'!$Q$60</f>
        <v>0</v>
      </c>
      <c r="R16" s="13">
        <f>'TR TUSD'!$R$16*'TR TUSD'!$R$60</f>
        <v>0</v>
      </c>
      <c r="S16" s="13">
        <f>'TR TUSD'!$S$16*'TR TUSD'!$S$60</f>
        <v>0</v>
      </c>
      <c r="T16" s="13">
        <f ca="1">SUM($L$16:$S$16)</f>
        <v>1.0579276185233945E-2</v>
      </c>
      <c r="U16" s="13">
        <f>'TR TUSD'!$U$16*'TR TUSD'!$U$60</f>
        <v>0</v>
      </c>
      <c r="V16" s="13">
        <f>'TR TUSD'!$V$16*'TR TUSD'!$V$60</f>
        <v>0</v>
      </c>
      <c r="W16" s="13">
        <f>'TR TUSD'!$W$16*'TR TUSD'!$W$60</f>
        <v>0</v>
      </c>
      <c r="X16" s="13">
        <f>'TR TUSD'!$X$16*'TR TUSD'!$X$60</f>
        <v>0</v>
      </c>
      <c r="Y16" s="13">
        <f>'TR TUSD'!$Y$16*'TR TUSD'!$Y$60</f>
        <v>0</v>
      </c>
      <c r="Z16" s="13">
        <f>'TR TUSD'!$Z$16*'TR TUSD'!$Z$60</f>
        <v>0</v>
      </c>
      <c r="AA16" s="13">
        <f>'TR TUSD'!$AA$16*'TR TUSD'!$AA$60</f>
        <v>0</v>
      </c>
      <c r="AB16" s="13">
        <f>SUM($U$16:$AA$16)</f>
        <v>0</v>
      </c>
      <c r="AC16" s="13">
        <f>'TR TUSD'!$AC$16*'TR TUSD'!$AC$60</f>
        <v>12.380696459139921</v>
      </c>
      <c r="AD16" s="13">
        <f>SUM($AC$16:$AC$16)</f>
        <v>12.380696459139921</v>
      </c>
      <c r="AE16" s="13">
        <v>0</v>
      </c>
      <c r="AF16" s="13">
        <v>0</v>
      </c>
      <c r="AG16" s="13">
        <f>SUM($AE$16:$AF$16)</f>
        <v>0</v>
      </c>
      <c r="AH16" s="13">
        <f>'TR TUSD'!$AH$16*'TR TUSD'!$AH$60</f>
        <v>0</v>
      </c>
      <c r="AI16" s="13">
        <f>'TR TUSD'!$AI$16*'TR TUSD'!$AI$60</f>
        <v>0</v>
      </c>
      <c r="AJ16" s="13">
        <f ca="1">'TR TUSD'!$AJ$16*'TR TUSD'!$AJ$60</f>
        <v>0</v>
      </c>
      <c r="AK16" s="13">
        <f ca="1">'TR TUSD'!$AK$16*'TR TUSD'!$AK$60</f>
        <v>0</v>
      </c>
      <c r="AL16" s="13">
        <f ca="1">SUM($AH$16:$AK$16)</f>
        <v>0</v>
      </c>
      <c r="AM16" s="13">
        <f ca="1">SUMIF($L$4:$AL$4,"SUBTOTAL",$L$16:$AL$16)</f>
        <v>12.391275735325156</v>
      </c>
      <c r="AP16" s="13"/>
    </row>
    <row r="17" spans="1:42" ht="11.25" customHeight="1" x14ac:dyDescent="0.3">
      <c r="A17" s="91" t="s">
        <v>22</v>
      </c>
      <c r="B17" s="91" t="s">
        <v>82</v>
      </c>
      <c r="C17" s="91" t="s">
        <v>24</v>
      </c>
      <c r="D17" s="91" t="s">
        <v>24</v>
      </c>
      <c r="E17" s="91" t="s">
        <v>25</v>
      </c>
      <c r="F17" s="91" t="s">
        <v>25</v>
      </c>
      <c r="G17" s="18" t="s">
        <v>69</v>
      </c>
      <c r="H17" s="18" t="s">
        <v>68</v>
      </c>
      <c r="I17" s="18">
        <f>'MERCADO TUSD'!$U$14</f>
        <v>0</v>
      </c>
      <c r="J17" s="15"/>
      <c r="L17" s="13">
        <f>'TR TUSD'!$L$17*'TR TUSD'!$L$60</f>
        <v>0</v>
      </c>
      <c r="M17" s="13">
        <f>'TR TUSD'!$M$17*'TR TUSD'!$M$60</f>
        <v>0.8640276214125725</v>
      </c>
      <c r="N17" s="13">
        <f ca="1">'TR TUSD'!$N$17*'TR TUSD'!$N$60</f>
        <v>0</v>
      </c>
      <c r="O17" s="13">
        <f>'TR TUSD'!$O$17*'TR TUSD'!$O$60</f>
        <v>0</v>
      </c>
      <c r="P17" s="13">
        <f>'TR TUSD'!$P$17*'TR TUSD'!$P$60</f>
        <v>0</v>
      </c>
      <c r="Q17" s="13">
        <f>'TR TUSD'!$Q$17*'TR TUSD'!$Q$60</f>
        <v>89.978368513069483</v>
      </c>
      <c r="R17" s="13">
        <f>'TR TUSD'!$R$17*'TR TUSD'!$R$60</f>
        <v>14.218765878443092</v>
      </c>
      <c r="S17" s="13">
        <f>'TR TUSD'!$S$17*'TR TUSD'!$S$60</f>
        <v>0</v>
      </c>
      <c r="T17" s="13">
        <f ca="1">SUM($L$17:$S$17)</f>
        <v>105.06116201292515</v>
      </c>
      <c r="U17" s="13">
        <f>'TR TUSD'!$U$17*'TR TUSD'!$U$60</f>
        <v>0</v>
      </c>
      <c r="V17" s="13">
        <f>'TR TUSD'!$V$17*'TR TUSD'!$V$60</f>
        <v>0</v>
      </c>
      <c r="W17" s="13">
        <f>'TR TUSD'!$W$17*'TR TUSD'!$W$60</f>
        <v>0</v>
      </c>
      <c r="X17" s="13">
        <f>'TR TUSD'!$X$17*'TR TUSD'!$X$60</f>
        <v>0</v>
      </c>
      <c r="Y17" s="13">
        <f>'TR TUSD'!$Y$17*'TR TUSD'!$Y$60</f>
        <v>269.28074338279822</v>
      </c>
      <c r="Z17" s="13">
        <f>'TR TUSD'!$Z$17</f>
        <v>0</v>
      </c>
      <c r="AA17" s="13">
        <f>'TR TUSD'!$AA$17</f>
        <v>0</v>
      </c>
      <c r="AB17" s="13">
        <f>SUM($U$17:$AA$17)</f>
        <v>269.28074338279822</v>
      </c>
      <c r="AC17" s="13">
        <f>'TR TUSD'!$AC$17*'TR TUSD'!$AC$60</f>
        <v>524.39300399591127</v>
      </c>
      <c r="AD17" s="13">
        <f>SUM($AC$17:$AC$17)</f>
        <v>524.39300399591127</v>
      </c>
      <c r="AE17" s="13">
        <v>0</v>
      </c>
      <c r="AF17" s="13">
        <v>0</v>
      </c>
      <c r="AG17" s="13">
        <f>SUM($AE$17:$AF$17)</f>
        <v>0</v>
      </c>
      <c r="AH17" s="13">
        <f>'TR TUSD'!$AH$17*'TR TUSD'!$AH$60</f>
        <v>16.918550688263945</v>
      </c>
      <c r="AI17" s="13">
        <f>'TR TUSD'!$AI$17*'TR TUSD'!$AI$60</f>
        <v>0</v>
      </c>
      <c r="AJ17" s="13">
        <f ca="1">'TR TUSD'!$AJ$17*'TR TUSD'!$AJ$60</f>
        <v>0</v>
      </c>
      <c r="AK17" s="13">
        <f ca="1">'TR TUSD'!$AK$17*'TR TUSD'!$AK$60</f>
        <v>0</v>
      </c>
      <c r="AL17" s="13">
        <f ca="1">SUM($AH$17:$AK$17)</f>
        <v>16.918550688263945</v>
      </c>
      <c r="AM17" s="13">
        <f ca="1">SUMIF($L$4:$AL$4,"SUBTOTAL",$L$17:$AL$17)</f>
        <v>915.65346007989854</v>
      </c>
      <c r="AP17" s="13">
        <v>1</v>
      </c>
    </row>
    <row r="18" spans="1:42" ht="11.25" customHeight="1" x14ac:dyDescent="0.3">
      <c r="A18" s="91"/>
      <c r="B18" s="91"/>
      <c r="C18" s="91"/>
      <c r="D18" s="91"/>
      <c r="E18" s="91"/>
      <c r="F18" s="91"/>
      <c r="G18" s="18" t="s">
        <v>80</v>
      </c>
      <c r="H18" s="18" t="s">
        <v>68</v>
      </c>
      <c r="I18" s="18">
        <f>'MERCADO TUSD'!$U$15</f>
        <v>0</v>
      </c>
      <c r="J18" s="15"/>
      <c r="L18" s="13">
        <f>'TR TUSD'!$L$18*'TR TUSD'!$L$60</f>
        <v>0</v>
      </c>
      <c r="M18" s="13">
        <f>'TR TUSD'!$M$18*'TR TUSD'!$M$60</f>
        <v>0.8640276214125725</v>
      </c>
      <c r="N18" s="13">
        <f ca="1">'TR TUSD'!$N$18*'TR TUSD'!$N$60</f>
        <v>0</v>
      </c>
      <c r="O18" s="13">
        <f>'TR TUSD'!$O$18*'TR TUSD'!$O$60</f>
        <v>0</v>
      </c>
      <c r="P18" s="13">
        <f>'TR TUSD'!$P$18*'TR TUSD'!$P$60</f>
        <v>0</v>
      </c>
      <c r="Q18" s="13">
        <f>'TR TUSD'!$Q$18*'TR TUSD'!$Q$60</f>
        <v>89.978368513069483</v>
      </c>
      <c r="R18" s="13">
        <f>'TR TUSD'!$R$18*'TR TUSD'!$R$60</f>
        <v>14.218765878443092</v>
      </c>
      <c r="S18" s="13">
        <f>'TR TUSD'!$S$18*'TR TUSD'!$S$60</f>
        <v>0</v>
      </c>
      <c r="T18" s="13">
        <f ca="1">SUM($L$18:$S$18)</f>
        <v>105.06116201292515</v>
      </c>
      <c r="U18" s="13">
        <f>'TR TUSD'!$U$18*'TR TUSD'!$U$60</f>
        <v>0</v>
      </c>
      <c r="V18" s="13">
        <f>'TR TUSD'!$V$18*'TR TUSD'!$V$60</f>
        <v>0</v>
      </c>
      <c r="W18" s="13">
        <f>'TR TUSD'!$W$18*'TR TUSD'!$W$60</f>
        <v>0</v>
      </c>
      <c r="X18" s="13">
        <f>'TR TUSD'!$X$18*'TR TUSD'!$X$60</f>
        <v>0</v>
      </c>
      <c r="Y18" s="13">
        <f>'TR TUSD'!$Y$18*'TR TUSD'!$Y$60</f>
        <v>161.56846608814865</v>
      </c>
      <c r="Z18" s="13">
        <f>'TR TUSD'!$Z$18</f>
        <v>0</v>
      </c>
      <c r="AA18" s="13">
        <f>'TR TUSD'!$AA$18</f>
        <v>0</v>
      </c>
      <c r="AB18" s="13">
        <f>SUM($U$18:$AA$18)</f>
        <v>161.56846608814865</v>
      </c>
      <c r="AC18" s="13">
        <f>'TR TUSD'!$AC$18*'TR TUSD'!$AC$60</f>
        <v>314.63595766085825</v>
      </c>
      <c r="AD18" s="13">
        <f>SUM($AC$18:$AC$18)</f>
        <v>314.63595766085825</v>
      </c>
      <c r="AE18" s="13">
        <v>0</v>
      </c>
      <c r="AF18" s="13">
        <v>0</v>
      </c>
      <c r="AG18" s="13">
        <f>SUM($AE$18:$AF$18)</f>
        <v>0</v>
      </c>
      <c r="AH18" s="13">
        <f>'TR TUSD'!$AH$18*'TR TUSD'!$AH$60</f>
        <v>16.918550688263945</v>
      </c>
      <c r="AI18" s="13">
        <f>'TR TUSD'!$AI$18*'TR TUSD'!$AI$60</f>
        <v>0</v>
      </c>
      <c r="AJ18" s="13">
        <f ca="1">'TR TUSD'!$AJ$18*'TR TUSD'!$AJ$60</f>
        <v>0</v>
      </c>
      <c r="AK18" s="13">
        <f ca="1">'TR TUSD'!$AK$18*'TR TUSD'!$AK$60</f>
        <v>0</v>
      </c>
      <c r="AL18" s="13">
        <f ca="1">SUM($AH$18:$AK$18)</f>
        <v>16.918550688263945</v>
      </c>
      <c r="AM18" s="13">
        <f ca="1">SUMIF($L$4:$AL$4,"SUBTOTAL",$L$18:$AL$18)</f>
        <v>598.18413645019598</v>
      </c>
      <c r="AP18" s="13">
        <v>1</v>
      </c>
    </row>
    <row r="19" spans="1:42" ht="11.25" customHeight="1" x14ac:dyDescent="0.3">
      <c r="A19" s="91"/>
      <c r="B19" s="91"/>
      <c r="C19" s="91"/>
      <c r="D19" s="91"/>
      <c r="E19" s="91"/>
      <c r="F19" s="91"/>
      <c r="G19" s="18" t="s">
        <v>70</v>
      </c>
      <c r="H19" s="18" t="s">
        <v>68</v>
      </c>
      <c r="I19" s="18">
        <f>'MERCADO TUSD'!$U$16</f>
        <v>0</v>
      </c>
      <c r="J19" s="15"/>
      <c r="L19" s="13">
        <f>'TR TUSD'!$L$19*'TR TUSD'!$L$60</f>
        <v>0</v>
      </c>
      <c r="M19" s="13">
        <f>'TR TUSD'!$M$19*'TR TUSD'!$M$60</f>
        <v>0.8640276214125725</v>
      </c>
      <c r="N19" s="13">
        <f ca="1">'TR TUSD'!$N$19*'TR TUSD'!$N$60</f>
        <v>0</v>
      </c>
      <c r="O19" s="13">
        <f>'TR TUSD'!$O$19*'TR TUSD'!$O$60</f>
        <v>0</v>
      </c>
      <c r="P19" s="13">
        <f>'TR TUSD'!$P$19*'TR TUSD'!$P$60</f>
        <v>0</v>
      </c>
      <c r="Q19" s="13">
        <f>'TR TUSD'!$Q$19*'TR TUSD'!$Q$60</f>
        <v>89.978368513069483</v>
      </c>
      <c r="R19" s="13">
        <f>'TR TUSD'!$R$19*'TR TUSD'!$R$60</f>
        <v>14.218765878443092</v>
      </c>
      <c r="S19" s="13">
        <f>'TR TUSD'!$S$19*'TR TUSD'!$S$60</f>
        <v>0</v>
      </c>
      <c r="T19" s="13">
        <f ca="1">SUM($L$19:$S$19)</f>
        <v>105.06116201292515</v>
      </c>
      <c r="U19" s="13">
        <f>'TR TUSD'!$U$19*'TR TUSD'!$U$60</f>
        <v>0</v>
      </c>
      <c r="V19" s="13">
        <f>'TR TUSD'!$V$19*'TR TUSD'!$V$60</f>
        <v>0</v>
      </c>
      <c r="W19" s="13">
        <f>'TR TUSD'!$W$19*'TR TUSD'!$W$60</f>
        <v>0</v>
      </c>
      <c r="X19" s="13">
        <f>'TR TUSD'!$X$19*'TR TUSD'!$X$60</f>
        <v>0</v>
      </c>
      <c r="Y19" s="13">
        <f>'TR TUSD'!$Y$19*'TR TUSD'!$Y$60</f>
        <v>53.905332044252894</v>
      </c>
      <c r="Z19" s="13">
        <f>'TR TUSD'!$Z$19</f>
        <v>0</v>
      </c>
      <c r="AA19" s="13">
        <f>'TR TUSD'!$AA$19</f>
        <v>0</v>
      </c>
      <c r="AB19" s="13">
        <f>SUM($U$19:$AA$19)</f>
        <v>53.905332044252894</v>
      </c>
      <c r="AC19" s="13">
        <f>'TR TUSD'!$AC$19*'TR TUSD'!$AC$60</f>
        <v>104.87852316752651</v>
      </c>
      <c r="AD19" s="13">
        <f>SUM($AC$19:$AC$19)</f>
        <v>104.87852316752651</v>
      </c>
      <c r="AE19" s="13">
        <v>0</v>
      </c>
      <c r="AF19" s="13">
        <v>0</v>
      </c>
      <c r="AG19" s="13">
        <f>SUM($AE$19:$AF$19)</f>
        <v>0</v>
      </c>
      <c r="AH19" s="13">
        <f>'TR TUSD'!$AH$19*'TR TUSD'!$AH$60</f>
        <v>16.918550688263945</v>
      </c>
      <c r="AI19" s="13">
        <f>'TR TUSD'!$AI$19*'TR TUSD'!$AI$60</f>
        <v>0</v>
      </c>
      <c r="AJ19" s="13">
        <f ca="1">'TR TUSD'!$AJ$19*'TR TUSD'!$AJ$60</f>
        <v>0</v>
      </c>
      <c r="AK19" s="13">
        <f ca="1">'TR TUSD'!$AK$19*'TR TUSD'!$AK$60</f>
        <v>0</v>
      </c>
      <c r="AL19" s="13">
        <f ca="1">SUM($AH$19:$AK$19)</f>
        <v>16.918550688263945</v>
      </c>
      <c r="AM19" s="13">
        <f ca="1">SUMIF($L$4:$AL$4,"SUBTOTAL",$L$19:$AL$19)</f>
        <v>280.76356791296848</v>
      </c>
      <c r="AP19" s="13">
        <v>1</v>
      </c>
    </row>
    <row r="20" spans="1:42" ht="11.25" customHeight="1" x14ac:dyDescent="0.3">
      <c r="A20" s="91"/>
      <c r="B20" s="91" t="s">
        <v>23</v>
      </c>
      <c r="C20" s="91" t="s">
        <v>24</v>
      </c>
      <c r="D20" s="17" t="s">
        <v>24</v>
      </c>
      <c r="E20" s="17" t="s">
        <v>25</v>
      </c>
      <c r="F20" s="17" t="s">
        <v>25</v>
      </c>
      <c r="G20" s="18" t="s">
        <v>74</v>
      </c>
      <c r="H20" s="18" t="s">
        <v>68</v>
      </c>
      <c r="I20" s="18">
        <f>'MERCADO TUSD'!$U$17</f>
        <v>434.28799999999995</v>
      </c>
      <c r="J20" s="15"/>
      <c r="L20" s="13">
        <f>'TR TUSD'!$L$20*'TR TUSD'!$L$60</f>
        <v>0</v>
      </c>
      <c r="M20" s="13">
        <f>'TR TUSD'!$M$20*'TR TUSD'!$M$60</f>
        <v>0.8640276214125725</v>
      </c>
      <c r="N20" s="13">
        <f ca="1">'TR TUSD'!$N$20*'TR TUSD'!$N$60</f>
        <v>0</v>
      </c>
      <c r="O20" s="13">
        <f>'TR TUSD'!$O$20*'TR TUSD'!$O$60</f>
        <v>0</v>
      </c>
      <c r="P20" s="13">
        <f>'TR TUSD'!$P$20*'TR TUSD'!$P$60</f>
        <v>0</v>
      </c>
      <c r="Q20" s="13">
        <f>'TR TUSD'!$Q$20*'TR TUSD'!$Q$60</f>
        <v>89.978368513069483</v>
      </c>
      <c r="R20" s="13">
        <f>'TR TUSD'!$R$20*'TR TUSD'!$R$60</f>
        <v>14.218765878443092</v>
      </c>
      <c r="S20" s="13">
        <f>'TR TUSD'!$S$20*'TR TUSD'!$S$60</f>
        <v>0</v>
      </c>
      <c r="T20" s="13">
        <f ca="1">SUM($L$20:$S$20)</f>
        <v>105.06116201292515</v>
      </c>
      <c r="U20" s="13">
        <f>'TR TUSD'!$U$20*'TR TUSD'!$U$60</f>
        <v>0</v>
      </c>
      <c r="V20" s="13">
        <f>'TR TUSD'!$V$20*'TR TUSD'!$V$60</f>
        <v>0</v>
      </c>
      <c r="W20" s="13">
        <f>'TR TUSD'!$W$20*'TR TUSD'!$W$60</f>
        <v>0</v>
      </c>
      <c r="X20" s="13">
        <f>'TR TUSD'!$X$20*'TR TUSD'!$X$60</f>
        <v>0</v>
      </c>
      <c r="Y20" s="13">
        <f>'TR TUSD'!$Y$20*'TR TUSD'!$Y$60</f>
        <v>99.688087077681246</v>
      </c>
      <c r="Z20" s="13">
        <f>'TR TUSD'!$Z$20</f>
        <v>0</v>
      </c>
      <c r="AA20" s="13">
        <f>'TR TUSD'!$AA$20</f>
        <v>0</v>
      </c>
      <c r="AB20" s="13">
        <f>SUM($U$20:$AA$20)</f>
        <v>99.688087077681246</v>
      </c>
      <c r="AC20" s="13">
        <f>'TR TUSD'!$AC$20*'TR TUSD'!$AC$60</f>
        <v>194.2196526739456</v>
      </c>
      <c r="AD20" s="13">
        <f>SUM($AC$20:$AC$20)</f>
        <v>194.2196526739456</v>
      </c>
      <c r="AE20" s="13">
        <v>0</v>
      </c>
      <c r="AF20" s="13">
        <v>0</v>
      </c>
      <c r="AG20" s="13">
        <f>SUM($AE$20:$AF$20)</f>
        <v>0</v>
      </c>
      <c r="AH20" s="13">
        <f>'TR TUSD'!$AH$20*'TR TUSD'!$AH$60</f>
        <v>16.918550688263945</v>
      </c>
      <c r="AI20" s="13">
        <f>'TR TUSD'!$AI$20*'TR TUSD'!$AI$60</f>
        <v>0</v>
      </c>
      <c r="AJ20" s="13">
        <f ca="1">'TR TUSD'!$AJ$20*'TR TUSD'!$AJ$60</f>
        <v>0</v>
      </c>
      <c r="AK20" s="13">
        <f ca="1">'TR TUSD'!$AK$20*'TR TUSD'!$AK$60</f>
        <v>0</v>
      </c>
      <c r="AL20" s="13">
        <f ca="1">SUM($AH$20:$AK$20)</f>
        <v>16.918550688263945</v>
      </c>
      <c r="AM20" s="13">
        <f ca="1">SUMIF($L$4:$AL$4,"SUBTOTAL",$L$20:$AL$20)</f>
        <v>415.88745245281598</v>
      </c>
      <c r="AP20" s="13">
        <v>1</v>
      </c>
    </row>
    <row r="21" spans="1:42" ht="11.25" customHeight="1" x14ac:dyDescent="0.3">
      <c r="A21" s="91"/>
      <c r="B21" s="91"/>
      <c r="C21" s="91"/>
      <c r="D21" s="17" t="s">
        <v>27</v>
      </c>
      <c r="E21" s="17" t="s">
        <v>25</v>
      </c>
      <c r="F21" s="17" t="s">
        <v>25</v>
      </c>
      <c r="G21" s="18" t="s">
        <v>74</v>
      </c>
      <c r="H21" s="18" t="s">
        <v>68</v>
      </c>
      <c r="I21" s="18">
        <f>'MERCADO TUSD'!$U$18</f>
        <v>2.37</v>
      </c>
      <c r="J21" s="15"/>
      <c r="L21" s="13">
        <f>'TR TUSD'!$L$21*'TR TUSD'!$L$60</f>
        <v>0</v>
      </c>
      <c r="M21" s="13">
        <f>'TR TUSD'!$M$21*'TR TUSD'!$M$60</f>
        <v>0.8640276214125725</v>
      </c>
      <c r="N21" s="13">
        <f ca="1">'TR TUSD'!$N$21*'TR TUSD'!$N$60</f>
        <v>0</v>
      </c>
      <c r="O21" s="13">
        <f>'TR TUSD'!$O$21*'TR TUSD'!$O$60</f>
        <v>0</v>
      </c>
      <c r="P21" s="13">
        <f>'TR TUSD'!$P$21*'TR TUSD'!$P$60</f>
        <v>0</v>
      </c>
      <c r="Q21" s="13">
        <f>'TR TUSD'!$Q$21*'TR TUSD'!$Q$60</f>
        <v>0</v>
      </c>
      <c r="R21" s="13">
        <f>'TR TUSD'!$R$21*'TR TUSD'!$R$60</f>
        <v>0</v>
      </c>
      <c r="S21" s="13">
        <f>'TR TUSD'!$S$21*'TR TUSD'!$S$60</f>
        <v>0</v>
      </c>
      <c r="T21" s="13">
        <f ca="1">SUM($L$21:$S$21)</f>
        <v>0.8640276214125725</v>
      </c>
      <c r="U21" s="13">
        <f>'TR TUSD'!$U$21*'TR TUSD'!$U$60</f>
        <v>0</v>
      </c>
      <c r="V21" s="13">
        <f>'TR TUSD'!$V$21*'TR TUSD'!$V$60</f>
        <v>0</v>
      </c>
      <c r="W21" s="13">
        <f>'TR TUSD'!$W$21*'TR TUSD'!$W$60</f>
        <v>0</v>
      </c>
      <c r="X21" s="13">
        <f>'TR TUSD'!$X$21*'TR TUSD'!$X$60</f>
        <v>0</v>
      </c>
      <c r="Y21" s="13">
        <f>'TR TUSD'!$Y$21*'TR TUSD'!$Y$60</f>
        <v>99.688087077681246</v>
      </c>
      <c r="Z21" s="13">
        <f>'TR TUSD'!$Z$21</f>
        <v>0</v>
      </c>
      <c r="AA21" s="13">
        <f>'TR TUSD'!$AA$21</f>
        <v>0</v>
      </c>
      <c r="AB21" s="13">
        <f>SUM($U$21:$AA$21)</f>
        <v>99.688087077681246</v>
      </c>
      <c r="AC21" s="13">
        <f>'TR TUSD'!$AC$21*'TR TUSD'!$AC$60</f>
        <v>194.2196526739456</v>
      </c>
      <c r="AD21" s="13">
        <f>SUM($AC$21:$AC$21)</f>
        <v>194.2196526739456</v>
      </c>
      <c r="AE21" s="13">
        <v>0</v>
      </c>
      <c r="AF21" s="13">
        <v>0</v>
      </c>
      <c r="AG21" s="13">
        <f>SUM($AE$21:$AF$21)</f>
        <v>0</v>
      </c>
      <c r="AH21" s="13">
        <f>'TR TUSD'!$AH$21*'TR TUSD'!$AH$60</f>
        <v>16.918550688263945</v>
      </c>
      <c r="AI21" s="13">
        <f>'TR TUSD'!$AI$21*'TR TUSD'!$AI$60</f>
        <v>0</v>
      </c>
      <c r="AJ21" s="13">
        <f ca="1">'TR TUSD'!$AJ$21*'TR TUSD'!$AJ$60</f>
        <v>0</v>
      </c>
      <c r="AK21" s="13">
        <f ca="1">'TR TUSD'!$AK$21*'TR TUSD'!$AK$60</f>
        <v>0</v>
      </c>
      <c r="AL21" s="13">
        <f ca="1">SUM($AH$21:$AK$21)</f>
        <v>16.918550688263945</v>
      </c>
      <c r="AM21" s="13">
        <f ca="1">SUMIF($L$4:$AL$4,"SUBTOTAL",$L$21:$AL$21)</f>
        <v>311.6903180613034</v>
      </c>
      <c r="AP21" s="13">
        <f>IF((1 - CUSTOS!$M$24)&lt;&gt;0,1/(1 - CUSTOS!$M$24),1)</f>
        <v>1</v>
      </c>
    </row>
    <row r="22" spans="1:42" ht="11.25" customHeight="1" x14ac:dyDescent="0.3">
      <c r="A22" s="91"/>
      <c r="B22" s="91"/>
      <c r="C22" s="91"/>
      <c r="D22" s="17" t="s">
        <v>28</v>
      </c>
      <c r="E22" s="17" t="s">
        <v>25</v>
      </c>
      <c r="F22" s="17" t="s">
        <v>25</v>
      </c>
      <c r="G22" s="18" t="s">
        <v>74</v>
      </c>
      <c r="H22" s="18" t="s">
        <v>68</v>
      </c>
      <c r="I22" s="18">
        <f>'MERCADO TUSD'!$U$19</f>
        <v>4.327</v>
      </c>
      <c r="J22" s="15"/>
      <c r="L22" s="13">
        <f>'TR TUSD'!$L$22*'TR TUSD'!$L$60</f>
        <v>0</v>
      </c>
      <c r="M22" s="13">
        <f>'TR TUSD'!$M$22*'TR TUSD'!$M$60</f>
        <v>0.8640276214125725</v>
      </c>
      <c r="N22" s="13">
        <f ca="1">'TR TUSD'!$N$22*'TR TUSD'!$N$60</f>
        <v>0</v>
      </c>
      <c r="O22" s="13">
        <f>'TR TUSD'!$O$22*'TR TUSD'!$O$60</f>
        <v>0</v>
      </c>
      <c r="P22" s="13">
        <f>'TR TUSD'!$P$22*'TR TUSD'!$P$60</f>
        <v>0</v>
      </c>
      <c r="Q22" s="13">
        <f>'TR TUSD'!$Q$22*'TR TUSD'!$Q$60</f>
        <v>0</v>
      </c>
      <c r="R22" s="13">
        <f>'TR TUSD'!$R$22*'TR TUSD'!$R$60</f>
        <v>0</v>
      </c>
      <c r="S22" s="13">
        <f>'TR TUSD'!$S$22*'TR TUSD'!$S$60</f>
        <v>0</v>
      </c>
      <c r="T22" s="13">
        <f ca="1">SUM($L$22:$S$22)</f>
        <v>0.8640276214125725</v>
      </c>
      <c r="U22" s="13">
        <f>'TR TUSD'!$U$22*'TR TUSD'!$U$60</f>
        <v>0</v>
      </c>
      <c r="V22" s="13">
        <f>'TR TUSD'!$V$22*'TR TUSD'!$V$60</f>
        <v>0</v>
      </c>
      <c r="W22" s="13">
        <f>'TR TUSD'!$W$22*'TR TUSD'!$W$60</f>
        <v>0</v>
      </c>
      <c r="X22" s="13">
        <f>'TR TUSD'!$X$22*'TR TUSD'!$X$60</f>
        <v>0</v>
      </c>
      <c r="Y22" s="13">
        <f>'TR TUSD'!$Y$22*'TR TUSD'!$Y$60</f>
        <v>99.688087077681246</v>
      </c>
      <c r="Z22" s="13">
        <f>'TR TUSD'!$Z$22</f>
        <v>0</v>
      </c>
      <c r="AA22" s="13">
        <f>'TR TUSD'!$AA$22</f>
        <v>0</v>
      </c>
      <c r="AB22" s="13">
        <f>SUM($U$22:$AA$22)</f>
        <v>99.688087077681246</v>
      </c>
      <c r="AC22" s="13">
        <f>'TR TUSD'!$AC$22*'TR TUSD'!$AC$60</f>
        <v>194.2196526739456</v>
      </c>
      <c r="AD22" s="13">
        <f>SUM($AC$22:$AC$22)</f>
        <v>194.2196526739456</v>
      </c>
      <c r="AE22" s="13">
        <v>0</v>
      </c>
      <c r="AF22" s="13">
        <v>0</v>
      </c>
      <c r="AG22" s="13">
        <f>SUM($AE$22:$AF$22)</f>
        <v>0</v>
      </c>
      <c r="AH22" s="13">
        <f>'TR TUSD'!$AH$22*'TR TUSD'!$AH$60</f>
        <v>16.918550688263945</v>
      </c>
      <c r="AI22" s="13">
        <f>'TR TUSD'!$AI$22*'TR TUSD'!$AI$60</f>
        <v>0</v>
      </c>
      <c r="AJ22" s="13">
        <f ca="1">'TR TUSD'!$AJ$22*'TR TUSD'!$AJ$60</f>
        <v>0</v>
      </c>
      <c r="AK22" s="13">
        <f ca="1">'TR TUSD'!$AK$22*'TR TUSD'!$AK$60</f>
        <v>0</v>
      </c>
      <c r="AL22" s="13">
        <f ca="1">SUM($AH$22:$AK$22)</f>
        <v>16.918550688263945</v>
      </c>
      <c r="AM22" s="13">
        <f ca="1">SUMIF($L$4:$AL$4,"SUBTOTAL",$L$22:$AL$22)</f>
        <v>311.6903180613034</v>
      </c>
      <c r="AP22" s="13">
        <f>IF((1 - CUSTOS!$M$25)&lt;&gt;0,1/(1 - CUSTOS!$M$25),1)</f>
        <v>1</v>
      </c>
    </row>
    <row r="23" spans="1:42" ht="11.25" customHeight="1" x14ac:dyDescent="0.3">
      <c r="A23" s="91"/>
      <c r="B23" s="91"/>
      <c r="C23" s="91"/>
      <c r="D23" s="17" t="s">
        <v>29</v>
      </c>
      <c r="E23" s="17" t="s">
        <v>25</v>
      </c>
      <c r="F23" s="17" t="s">
        <v>25</v>
      </c>
      <c r="G23" s="18" t="s">
        <v>74</v>
      </c>
      <c r="H23" s="18" t="s">
        <v>68</v>
      </c>
      <c r="I23" s="18">
        <f>'MERCADO TUSD'!$U$20</f>
        <v>5.7929999999999993</v>
      </c>
      <c r="J23" s="15"/>
      <c r="L23" s="13">
        <f>'TR TUSD'!$L$23*'TR TUSD'!$L$60</f>
        <v>0</v>
      </c>
      <c r="M23" s="13">
        <f>'TR TUSD'!$M$23*'TR TUSD'!$M$60</f>
        <v>0.8640276214125725</v>
      </c>
      <c r="N23" s="13">
        <f ca="1">'TR TUSD'!$N$23*'TR TUSD'!$N$60</f>
        <v>0</v>
      </c>
      <c r="O23" s="13">
        <f>'TR TUSD'!$O$23*'TR TUSD'!$O$60</f>
        <v>0</v>
      </c>
      <c r="P23" s="13">
        <f>'TR TUSD'!$P$23*'TR TUSD'!$P$60</f>
        <v>0</v>
      </c>
      <c r="Q23" s="13">
        <f>'TR TUSD'!$Q$23*'TR TUSD'!$Q$60</f>
        <v>0</v>
      </c>
      <c r="R23" s="13">
        <f>'TR TUSD'!$R$23*'TR TUSD'!$R$60</f>
        <v>0</v>
      </c>
      <c r="S23" s="13">
        <f>'TR TUSD'!$S$23*'TR TUSD'!$S$60</f>
        <v>0</v>
      </c>
      <c r="T23" s="13">
        <f ca="1">SUM($L$23:$S$23)</f>
        <v>0.8640276214125725</v>
      </c>
      <c r="U23" s="13">
        <f>'TR TUSD'!$U$23*'TR TUSD'!$U$60</f>
        <v>0</v>
      </c>
      <c r="V23" s="13">
        <f>'TR TUSD'!$V$23*'TR TUSD'!$V$60</f>
        <v>0</v>
      </c>
      <c r="W23" s="13">
        <f>'TR TUSD'!$W$23*'TR TUSD'!$W$60</f>
        <v>0</v>
      </c>
      <c r="X23" s="13">
        <f>'TR TUSD'!$X$23*'TR TUSD'!$X$60</f>
        <v>0</v>
      </c>
      <c r="Y23" s="13">
        <f>'TR TUSD'!$Y$23*'TR TUSD'!$Y$60</f>
        <v>99.688087077681246</v>
      </c>
      <c r="Z23" s="13">
        <f>'TR TUSD'!$Z$23</f>
        <v>0</v>
      </c>
      <c r="AA23" s="13">
        <f>'TR TUSD'!$AA$23</f>
        <v>0</v>
      </c>
      <c r="AB23" s="13">
        <f>SUM($U$23:$AA$23)</f>
        <v>99.688087077681246</v>
      </c>
      <c r="AC23" s="13">
        <f>'TR TUSD'!$AC$23*'TR TUSD'!$AC$60</f>
        <v>194.2196526739456</v>
      </c>
      <c r="AD23" s="13">
        <f>SUM($AC$23:$AC$23)</f>
        <v>194.2196526739456</v>
      </c>
      <c r="AE23" s="13">
        <v>0</v>
      </c>
      <c r="AF23" s="13">
        <v>0</v>
      </c>
      <c r="AG23" s="13">
        <f>SUM($AE$23:$AF$23)</f>
        <v>0</v>
      </c>
      <c r="AH23" s="13">
        <f>'TR TUSD'!$AH$23*'TR TUSD'!$AH$60</f>
        <v>16.918550688263945</v>
      </c>
      <c r="AI23" s="13">
        <f>'TR TUSD'!$AI$23*'TR TUSD'!$AI$60</f>
        <v>0</v>
      </c>
      <c r="AJ23" s="13">
        <f ca="1">'TR TUSD'!$AJ$23*'TR TUSD'!$AJ$60</f>
        <v>0</v>
      </c>
      <c r="AK23" s="13">
        <f ca="1">'TR TUSD'!$AK$23*'TR TUSD'!$AK$60</f>
        <v>0</v>
      </c>
      <c r="AL23" s="13">
        <f ca="1">SUM($AH$23:$AK$23)</f>
        <v>16.918550688263945</v>
      </c>
      <c r="AM23" s="13">
        <f ca="1">SUMIF($L$4:$AL$4,"SUBTOTAL",$L$23:$AL$23)</f>
        <v>311.6903180613034</v>
      </c>
      <c r="AP23" s="13">
        <f>IF((1 - CUSTOS!$M$26)&lt;&gt;0,1/(1 - CUSTOS!$M$26),1)</f>
        <v>1</v>
      </c>
    </row>
    <row r="24" spans="1:42" ht="11.25" customHeight="1" x14ac:dyDescent="0.3">
      <c r="A24" s="91"/>
      <c r="B24" s="91"/>
      <c r="C24" s="91"/>
      <c r="D24" s="17" t="s">
        <v>30</v>
      </c>
      <c r="E24" s="17" t="s">
        <v>25</v>
      </c>
      <c r="F24" s="17" t="s">
        <v>25</v>
      </c>
      <c r="G24" s="18" t="s">
        <v>74</v>
      </c>
      <c r="H24" s="18" t="s">
        <v>68</v>
      </c>
      <c r="I24" s="18">
        <f>'MERCADO TUSD'!$U$21</f>
        <v>2.0990000000000002</v>
      </c>
      <c r="J24" s="15"/>
      <c r="L24" s="13">
        <f>'TR TUSD'!$L$24*'TR TUSD'!$L$60</f>
        <v>0</v>
      </c>
      <c r="M24" s="13">
        <f>'TR TUSD'!$M$24*'TR TUSD'!$M$60</f>
        <v>0.8640276214125725</v>
      </c>
      <c r="N24" s="13">
        <f ca="1">'TR TUSD'!$N$24*'TR TUSD'!$N$60</f>
        <v>0</v>
      </c>
      <c r="O24" s="13">
        <f>'TR TUSD'!$O$24*'TR TUSD'!$O$60</f>
        <v>0</v>
      </c>
      <c r="P24" s="13">
        <f>'TR TUSD'!$P$24*'TR TUSD'!$P$60</f>
        <v>0</v>
      </c>
      <c r="Q24" s="13">
        <f>'TR TUSD'!$Q$24*'TR TUSD'!$Q$60</f>
        <v>0</v>
      </c>
      <c r="R24" s="13">
        <f>'TR TUSD'!$R$24*'TR TUSD'!$R$60</f>
        <v>0</v>
      </c>
      <c r="S24" s="13">
        <f>'TR TUSD'!$S$24*'TR TUSD'!$S$60</f>
        <v>0</v>
      </c>
      <c r="T24" s="13">
        <f ca="1">SUM($L$24:$S$24)</f>
        <v>0.8640276214125725</v>
      </c>
      <c r="U24" s="13">
        <f>'TR TUSD'!$U$24*'TR TUSD'!$U$60</f>
        <v>0</v>
      </c>
      <c r="V24" s="13">
        <f>'TR TUSD'!$V$24*'TR TUSD'!$V$60</f>
        <v>0</v>
      </c>
      <c r="W24" s="13">
        <f>'TR TUSD'!$W$24*'TR TUSD'!$W$60</f>
        <v>0</v>
      </c>
      <c r="X24" s="13">
        <f>'TR TUSD'!$X$24*'TR TUSD'!$X$60</f>
        <v>0</v>
      </c>
      <c r="Y24" s="13">
        <f>'TR TUSD'!$Y$24*'TR TUSD'!$Y$60</f>
        <v>99.688087077681246</v>
      </c>
      <c r="Z24" s="13">
        <f>'TR TUSD'!$Z$24</f>
        <v>0</v>
      </c>
      <c r="AA24" s="13">
        <f>'TR TUSD'!$AA$24</f>
        <v>0</v>
      </c>
      <c r="AB24" s="13">
        <f>SUM($U$24:$AA$24)</f>
        <v>99.688087077681246</v>
      </c>
      <c r="AC24" s="13">
        <f>'TR TUSD'!$AC$24*'TR TUSD'!$AC$60</f>
        <v>194.2196526739456</v>
      </c>
      <c r="AD24" s="13">
        <f>SUM($AC$24:$AC$24)</f>
        <v>194.2196526739456</v>
      </c>
      <c r="AE24" s="13">
        <v>0</v>
      </c>
      <c r="AF24" s="13">
        <v>0</v>
      </c>
      <c r="AG24" s="13">
        <f>SUM($AE$24:$AF$24)</f>
        <v>0</v>
      </c>
      <c r="AH24" s="13">
        <f>'TR TUSD'!$AH$24*'TR TUSD'!$AH$60</f>
        <v>16.918550688263945</v>
      </c>
      <c r="AI24" s="13">
        <f>'TR TUSD'!$AI$24*'TR TUSD'!$AI$60</f>
        <v>0</v>
      </c>
      <c r="AJ24" s="13">
        <f ca="1">'TR TUSD'!$AJ$24*'TR TUSD'!$AJ$60</f>
        <v>0</v>
      </c>
      <c r="AK24" s="13">
        <f ca="1">'TR TUSD'!$AK$24*'TR TUSD'!$AK$60</f>
        <v>0</v>
      </c>
      <c r="AL24" s="13">
        <f ca="1">SUM($AH$24:$AK$24)</f>
        <v>16.918550688263945</v>
      </c>
      <c r="AM24" s="13">
        <f ca="1">SUMIF($L$4:$AL$4,"SUBTOTAL",$L$24:$AL$24)</f>
        <v>311.6903180613034</v>
      </c>
      <c r="AP24" s="13">
        <f>IF((1 - CUSTOS!$M$27)&lt;&gt;0,1/(1 - CUSTOS!$M$27),1)</f>
        <v>1</v>
      </c>
    </row>
    <row r="25" spans="1:42" ht="11.25" customHeight="1" x14ac:dyDescent="0.3">
      <c r="A25" s="91"/>
      <c r="B25" s="91" t="s">
        <v>84</v>
      </c>
      <c r="C25" s="91" t="s">
        <v>24</v>
      </c>
      <c r="D25" s="17" t="s">
        <v>24</v>
      </c>
      <c r="E25" s="17" t="s">
        <v>25</v>
      </c>
      <c r="F25" s="17" t="s">
        <v>25</v>
      </c>
      <c r="G25" s="18" t="s">
        <v>74</v>
      </c>
      <c r="H25" s="18" t="s">
        <v>68</v>
      </c>
      <c r="I25" s="18">
        <f>'MERCADO TUSD'!$U$22</f>
        <v>0</v>
      </c>
      <c r="J25" s="15"/>
      <c r="L25" s="13">
        <f>'TR TUSD'!$L$25*'TR TUSD'!$L$60</f>
        <v>0</v>
      </c>
      <c r="M25" s="13">
        <f>'TR TUSD'!$M$25*'TR TUSD'!$M$60</f>
        <v>0.8640276214125725</v>
      </c>
      <c r="N25" s="13">
        <f ca="1">'TR TUSD'!$N$25*'TR TUSD'!$N$60</f>
        <v>0</v>
      </c>
      <c r="O25" s="13">
        <f>'TR TUSD'!$O$25*'TR TUSD'!$O$60</f>
        <v>0</v>
      </c>
      <c r="P25" s="13">
        <f>'TR TUSD'!$P$25*'TR TUSD'!$P$60</f>
        <v>0</v>
      </c>
      <c r="Q25" s="13">
        <f>'TR TUSD'!$Q$25*'TR TUSD'!$Q$60</f>
        <v>89.978368513069483</v>
      </c>
      <c r="R25" s="13">
        <f>'TR TUSD'!$R$25*'TR TUSD'!$R$60</f>
        <v>14.218765878443092</v>
      </c>
      <c r="S25" s="13">
        <f>'TR TUSD'!$S$25*'TR TUSD'!$S$60</f>
        <v>0</v>
      </c>
      <c r="T25" s="13">
        <f ca="1">SUM($L$25:$S$25)</f>
        <v>105.06116201292515</v>
      </c>
      <c r="U25" s="13">
        <f>'TR TUSD'!$U$25*'TR TUSD'!$U$60</f>
        <v>0</v>
      </c>
      <c r="V25" s="13">
        <f>'TR TUSD'!$V$25*'TR TUSD'!$V$60</f>
        <v>0</v>
      </c>
      <c r="W25" s="13">
        <f>'TR TUSD'!$W$25*'TR TUSD'!$W$60</f>
        <v>0</v>
      </c>
      <c r="X25" s="13">
        <f>'TR TUSD'!$X$25*'TR TUSD'!$X$60</f>
        <v>0</v>
      </c>
      <c r="Y25" s="13">
        <f>'TR TUSD'!$Y$25*'TR TUSD'!$Y$60</f>
        <v>0</v>
      </c>
      <c r="Z25" s="13">
        <f>'TR TUSD'!$Z$25</f>
        <v>0</v>
      </c>
      <c r="AA25" s="13">
        <f>'TR TUSD'!$AA$25</f>
        <v>0</v>
      </c>
      <c r="AB25" s="13">
        <f>SUM($U$25:$AA$25)</f>
        <v>0</v>
      </c>
      <c r="AC25" s="13">
        <f>'TR TUSD'!$AC$25*'TR TUSD'!$AC$60</f>
        <v>0</v>
      </c>
      <c r="AD25" s="13">
        <f>SUM($AC$25:$AC$25)</f>
        <v>0</v>
      </c>
      <c r="AE25" s="13">
        <v>0</v>
      </c>
      <c r="AF25" s="13">
        <v>0</v>
      </c>
      <c r="AG25" s="13">
        <f>SUM($AE$25:$AF$25)</f>
        <v>0</v>
      </c>
      <c r="AH25" s="13">
        <f>'TR TUSD'!$AH$25*'TR TUSD'!$AH$60</f>
        <v>0</v>
      </c>
      <c r="AI25" s="13">
        <f>'TR TUSD'!$AI$25*'TR TUSD'!$AI$60</f>
        <v>0</v>
      </c>
      <c r="AJ25" s="13">
        <f ca="1">'TR TUSD'!$AJ$25*'TR TUSD'!$AJ$60</f>
        <v>0</v>
      </c>
      <c r="AK25" s="13">
        <f ca="1">'TR TUSD'!$AK$25*'TR TUSD'!$AK$60</f>
        <v>0</v>
      </c>
      <c r="AL25" s="13">
        <f ca="1">SUM($AH$25:$AK$25)</f>
        <v>0</v>
      </c>
      <c r="AM25" s="13">
        <f ca="1">SUMIF($L$4:$AL$4,"SUBTOTAL",$L$25:$AL$25)</f>
        <v>105.06116201292515</v>
      </c>
      <c r="AP25" s="13">
        <v>1</v>
      </c>
    </row>
    <row r="26" spans="1:42" ht="11.25" customHeight="1" x14ac:dyDescent="0.3">
      <c r="A26" s="91"/>
      <c r="B26" s="91"/>
      <c r="C26" s="91"/>
      <c r="D26" s="17" t="s">
        <v>27</v>
      </c>
      <c r="E26" s="17" t="s">
        <v>25</v>
      </c>
      <c r="F26" s="17" t="s">
        <v>25</v>
      </c>
      <c r="G26" s="18" t="s">
        <v>74</v>
      </c>
      <c r="H26" s="18" t="s">
        <v>68</v>
      </c>
      <c r="I26" s="18">
        <f>'MERCADO TUSD'!$U$23</f>
        <v>0</v>
      </c>
      <c r="J26" s="15"/>
      <c r="L26" s="13">
        <f>'TR TUSD'!$L$26*'TR TUSD'!$L$60</f>
        <v>0</v>
      </c>
      <c r="M26" s="13">
        <f>'TR TUSD'!$M$26*'TR TUSD'!$M$60</f>
        <v>0.8640276214125725</v>
      </c>
      <c r="N26" s="13">
        <f ca="1">'TR TUSD'!$N$26*'TR TUSD'!$N$60</f>
        <v>0</v>
      </c>
      <c r="O26" s="13">
        <f>'TR TUSD'!$O$26*'TR TUSD'!$O$60</f>
        <v>0</v>
      </c>
      <c r="P26" s="13">
        <f>'TR TUSD'!$P$26*'TR TUSD'!$P$60</f>
        <v>0</v>
      </c>
      <c r="Q26" s="13">
        <f>'TR TUSD'!$Q$26*'TR TUSD'!$Q$60</f>
        <v>0</v>
      </c>
      <c r="R26" s="13">
        <f>'TR TUSD'!$R$26*'TR TUSD'!$R$60</f>
        <v>0</v>
      </c>
      <c r="S26" s="13">
        <f>'TR TUSD'!$S$26*'TR TUSD'!$S$60</f>
        <v>0</v>
      </c>
      <c r="T26" s="13">
        <f ca="1">SUM($L$26:$S$26)</f>
        <v>0.8640276214125725</v>
      </c>
      <c r="U26" s="13">
        <f>'TR TUSD'!$U$26*'TR TUSD'!$U$60</f>
        <v>0</v>
      </c>
      <c r="V26" s="13">
        <f>'TR TUSD'!$V$26*'TR TUSD'!$V$60</f>
        <v>0</v>
      </c>
      <c r="W26" s="13">
        <f>'TR TUSD'!$W$26*'TR TUSD'!$W$60</f>
        <v>0</v>
      </c>
      <c r="X26" s="13">
        <f>'TR TUSD'!$X$26*'TR TUSD'!$X$60</f>
        <v>0</v>
      </c>
      <c r="Y26" s="13">
        <f>'TR TUSD'!$Y$26*'TR TUSD'!$Y$60</f>
        <v>0</v>
      </c>
      <c r="Z26" s="13">
        <f>'TR TUSD'!$Z$26</f>
        <v>0</v>
      </c>
      <c r="AA26" s="13">
        <f>'TR TUSD'!$AA$26</f>
        <v>0</v>
      </c>
      <c r="AB26" s="13">
        <f>SUM($U$26:$AA$26)</f>
        <v>0</v>
      </c>
      <c r="AC26" s="13">
        <f>'TR TUSD'!$AC$26*'TR TUSD'!$AC$60</f>
        <v>0</v>
      </c>
      <c r="AD26" s="13">
        <f>SUM($AC$26:$AC$26)</f>
        <v>0</v>
      </c>
      <c r="AE26" s="13">
        <v>0</v>
      </c>
      <c r="AF26" s="13">
        <v>0</v>
      </c>
      <c r="AG26" s="13">
        <f>SUM($AE$26:$AF$26)</f>
        <v>0</v>
      </c>
      <c r="AH26" s="13">
        <f>'TR TUSD'!$AH$26*'TR TUSD'!$AH$60</f>
        <v>0</v>
      </c>
      <c r="AI26" s="13">
        <f>'TR TUSD'!$AI$26*'TR TUSD'!$AI$60</f>
        <v>0</v>
      </c>
      <c r="AJ26" s="13">
        <f ca="1">'TR TUSD'!$AJ$26*'TR TUSD'!$AJ$60</f>
        <v>0</v>
      </c>
      <c r="AK26" s="13">
        <f ca="1">'TR TUSD'!$AK$26*'TR TUSD'!$AK$60</f>
        <v>0</v>
      </c>
      <c r="AL26" s="13">
        <f ca="1">SUM($AH$26:$AK$26)</f>
        <v>0</v>
      </c>
      <c r="AM26" s="13">
        <f ca="1">SUMIF($L$4:$AL$4,"SUBTOTAL",$L$26:$AL$26)</f>
        <v>0.8640276214125725</v>
      </c>
      <c r="AP26" s="13">
        <f>IF((1 - CUSTOS!$M$24)&lt;&gt;0,1/(1 - CUSTOS!$M$24),1)</f>
        <v>1</v>
      </c>
    </row>
    <row r="27" spans="1:42" ht="11.25" customHeight="1" x14ac:dyDescent="0.3">
      <c r="A27" s="91"/>
      <c r="B27" s="91"/>
      <c r="C27" s="91"/>
      <c r="D27" s="17" t="s">
        <v>28</v>
      </c>
      <c r="E27" s="17" t="s">
        <v>25</v>
      </c>
      <c r="F27" s="17" t="s">
        <v>25</v>
      </c>
      <c r="G27" s="18" t="s">
        <v>74</v>
      </c>
      <c r="H27" s="18" t="s">
        <v>68</v>
      </c>
      <c r="I27" s="18">
        <f>'MERCADO TUSD'!$U$24</f>
        <v>0</v>
      </c>
      <c r="J27" s="15"/>
      <c r="L27" s="13">
        <f>'TR TUSD'!$L$27*'TR TUSD'!$L$60</f>
        <v>0</v>
      </c>
      <c r="M27" s="13">
        <f>'TR TUSD'!$M$27*'TR TUSD'!$M$60</f>
        <v>0.8640276214125725</v>
      </c>
      <c r="N27" s="13">
        <f ca="1">'TR TUSD'!$N$27*'TR TUSD'!$N$60</f>
        <v>0</v>
      </c>
      <c r="O27" s="13">
        <f>'TR TUSD'!$O$27*'TR TUSD'!$O$60</f>
        <v>0</v>
      </c>
      <c r="P27" s="13">
        <f>'TR TUSD'!$P$27*'TR TUSD'!$P$60</f>
        <v>0</v>
      </c>
      <c r="Q27" s="13">
        <f>'TR TUSD'!$Q$27*'TR TUSD'!$Q$60</f>
        <v>0</v>
      </c>
      <c r="R27" s="13">
        <f>'TR TUSD'!$R$27*'TR TUSD'!$R$60</f>
        <v>0</v>
      </c>
      <c r="S27" s="13">
        <f>'TR TUSD'!$S$27*'TR TUSD'!$S$60</f>
        <v>0</v>
      </c>
      <c r="T27" s="13">
        <f ca="1">SUM($L$27:$S$27)</f>
        <v>0.8640276214125725</v>
      </c>
      <c r="U27" s="13">
        <f>'TR TUSD'!$U$27*'TR TUSD'!$U$60</f>
        <v>0</v>
      </c>
      <c r="V27" s="13">
        <f>'TR TUSD'!$V$27*'TR TUSD'!$V$60</f>
        <v>0</v>
      </c>
      <c r="W27" s="13">
        <f>'TR TUSD'!$W$27*'TR TUSD'!$W$60</f>
        <v>0</v>
      </c>
      <c r="X27" s="13">
        <f>'TR TUSD'!$X$27*'TR TUSD'!$X$60</f>
        <v>0</v>
      </c>
      <c r="Y27" s="13">
        <f>'TR TUSD'!$Y$27*'TR TUSD'!$Y$60</f>
        <v>0</v>
      </c>
      <c r="Z27" s="13">
        <f>'TR TUSD'!$Z$27</f>
        <v>0</v>
      </c>
      <c r="AA27" s="13">
        <f>'TR TUSD'!$AA$27</f>
        <v>0</v>
      </c>
      <c r="AB27" s="13">
        <f>SUM($U$27:$AA$27)</f>
        <v>0</v>
      </c>
      <c r="AC27" s="13">
        <f>'TR TUSD'!$AC$27*'TR TUSD'!$AC$60</f>
        <v>0</v>
      </c>
      <c r="AD27" s="13">
        <f>SUM($AC$27:$AC$27)</f>
        <v>0</v>
      </c>
      <c r="AE27" s="13">
        <v>0</v>
      </c>
      <c r="AF27" s="13">
        <v>0</v>
      </c>
      <c r="AG27" s="13">
        <f>SUM($AE$27:$AF$27)</f>
        <v>0</v>
      </c>
      <c r="AH27" s="13">
        <f>'TR TUSD'!$AH$27*'TR TUSD'!$AH$60</f>
        <v>0</v>
      </c>
      <c r="AI27" s="13">
        <f>'TR TUSD'!$AI$27*'TR TUSD'!$AI$60</f>
        <v>0</v>
      </c>
      <c r="AJ27" s="13">
        <f ca="1">'TR TUSD'!$AJ$27*'TR TUSD'!$AJ$60</f>
        <v>0</v>
      </c>
      <c r="AK27" s="13">
        <f ca="1">'TR TUSD'!$AK$27*'TR TUSD'!$AK$60</f>
        <v>0</v>
      </c>
      <c r="AL27" s="13">
        <f ca="1">SUM($AH$27:$AK$27)</f>
        <v>0</v>
      </c>
      <c r="AM27" s="13">
        <f ca="1">SUMIF($L$4:$AL$4,"SUBTOTAL",$L$27:$AL$27)</f>
        <v>0.8640276214125725</v>
      </c>
      <c r="AP27" s="13">
        <f>IF((1 - CUSTOS!$M$25)&lt;&gt;0,1/(1 - CUSTOS!$M$25),1)</f>
        <v>1</v>
      </c>
    </row>
    <row r="28" spans="1:42" ht="11.25" customHeight="1" x14ac:dyDescent="0.3">
      <c r="A28" s="91"/>
      <c r="B28" s="91"/>
      <c r="C28" s="91"/>
      <c r="D28" s="17" t="s">
        <v>29</v>
      </c>
      <c r="E28" s="17" t="s">
        <v>25</v>
      </c>
      <c r="F28" s="17" t="s">
        <v>25</v>
      </c>
      <c r="G28" s="18" t="s">
        <v>74</v>
      </c>
      <c r="H28" s="18" t="s">
        <v>68</v>
      </c>
      <c r="I28" s="18">
        <f>'MERCADO TUSD'!$U$25</f>
        <v>0</v>
      </c>
      <c r="J28" s="15"/>
      <c r="L28" s="13">
        <f>'TR TUSD'!$L$28*'TR TUSD'!$L$60</f>
        <v>0</v>
      </c>
      <c r="M28" s="13">
        <f>'TR TUSD'!$M$28*'TR TUSD'!$M$60</f>
        <v>0.8640276214125725</v>
      </c>
      <c r="N28" s="13">
        <f ca="1">'TR TUSD'!$N$28*'TR TUSD'!$N$60</f>
        <v>0</v>
      </c>
      <c r="O28" s="13">
        <f>'TR TUSD'!$O$28*'TR TUSD'!$O$60</f>
        <v>0</v>
      </c>
      <c r="P28" s="13">
        <f>'TR TUSD'!$P$28*'TR TUSD'!$P$60</f>
        <v>0</v>
      </c>
      <c r="Q28" s="13">
        <f>'TR TUSD'!$Q$28*'TR TUSD'!$Q$60</f>
        <v>0</v>
      </c>
      <c r="R28" s="13">
        <f>'TR TUSD'!$R$28*'TR TUSD'!$R$60</f>
        <v>0</v>
      </c>
      <c r="S28" s="13">
        <f>'TR TUSD'!$S$28*'TR TUSD'!$S$60</f>
        <v>0</v>
      </c>
      <c r="T28" s="13">
        <f ca="1">SUM($L$28:$S$28)</f>
        <v>0.8640276214125725</v>
      </c>
      <c r="U28" s="13">
        <f>'TR TUSD'!$U$28*'TR TUSD'!$U$60</f>
        <v>0</v>
      </c>
      <c r="V28" s="13">
        <f>'TR TUSD'!$V$28*'TR TUSD'!$V$60</f>
        <v>0</v>
      </c>
      <c r="W28" s="13">
        <f>'TR TUSD'!$W$28*'TR TUSD'!$W$60</f>
        <v>0</v>
      </c>
      <c r="X28" s="13">
        <f>'TR TUSD'!$X$28*'TR TUSD'!$X$60</f>
        <v>0</v>
      </c>
      <c r="Y28" s="13">
        <f>'TR TUSD'!$Y$28*'TR TUSD'!$Y$60</f>
        <v>0</v>
      </c>
      <c r="Z28" s="13">
        <f>'TR TUSD'!$Z$28</f>
        <v>0</v>
      </c>
      <c r="AA28" s="13">
        <f>'TR TUSD'!$AA$28</f>
        <v>0</v>
      </c>
      <c r="AB28" s="13">
        <f>SUM($U$28:$AA$28)</f>
        <v>0</v>
      </c>
      <c r="AC28" s="13">
        <f>'TR TUSD'!$AC$28*'TR TUSD'!$AC$60</f>
        <v>0</v>
      </c>
      <c r="AD28" s="13">
        <f>SUM($AC$28:$AC$28)</f>
        <v>0</v>
      </c>
      <c r="AE28" s="13">
        <v>0</v>
      </c>
      <c r="AF28" s="13">
        <v>0</v>
      </c>
      <c r="AG28" s="13">
        <f>SUM($AE$28:$AF$28)</f>
        <v>0</v>
      </c>
      <c r="AH28" s="13">
        <f>'TR TUSD'!$AH$28*'TR TUSD'!$AH$60</f>
        <v>0</v>
      </c>
      <c r="AI28" s="13">
        <f>'TR TUSD'!$AI$28*'TR TUSD'!$AI$60</f>
        <v>0</v>
      </c>
      <c r="AJ28" s="13">
        <f ca="1">'TR TUSD'!$AJ$28*'TR TUSD'!$AJ$60</f>
        <v>0</v>
      </c>
      <c r="AK28" s="13">
        <f ca="1">'TR TUSD'!$AK$28*'TR TUSD'!$AK$60</f>
        <v>0</v>
      </c>
      <c r="AL28" s="13">
        <f ca="1">SUM($AH$28:$AK$28)</f>
        <v>0</v>
      </c>
      <c r="AM28" s="13">
        <f ca="1">SUMIF($L$4:$AL$4,"SUBTOTAL",$L$28:$AL$28)</f>
        <v>0.8640276214125725</v>
      </c>
      <c r="AP28" s="13">
        <f>IF((1 - CUSTOS!$M$26)&lt;&gt;0,1/(1 - CUSTOS!$M$26),1)</f>
        <v>1</v>
      </c>
    </row>
    <row r="29" spans="1:42" ht="11.25" customHeight="1" x14ac:dyDescent="0.3">
      <c r="A29" s="91"/>
      <c r="B29" s="91"/>
      <c r="C29" s="91"/>
      <c r="D29" s="17" t="s">
        <v>30</v>
      </c>
      <c r="E29" s="17" t="s">
        <v>25</v>
      </c>
      <c r="F29" s="17" t="s">
        <v>25</v>
      </c>
      <c r="G29" s="18" t="s">
        <v>74</v>
      </c>
      <c r="H29" s="18" t="s">
        <v>68</v>
      </c>
      <c r="I29" s="18">
        <f>'MERCADO TUSD'!$U$26</f>
        <v>0</v>
      </c>
      <c r="J29" s="15"/>
      <c r="L29" s="13">
        <f>'TR TUSD'!$L$29*'TR TUSD'!$L$60</f>
        <v>0</v>
      </c>
      <c r="M29" s="13">
        <f>'TR TUSD'!$M$29*'TR TUSD'!$M$60</f>
        <v>0.8640276214125725</v>
      </c>
      <c r="N29" s="13">
        <f ca="1">'TR TUSD'!$N$29*'TR TUSD'!$N$60</f>
        <v>0</v>
      </c>
      <c r="O29" s="13">
        <f>'TR TUSD'!$O$29*'TR TUSD'!$O$60</f>
        <v>0</v>
      </c>
      <c r="P29" s="13">
        <f>'TR TUSD'!$P$29*'TR TUSD'!$P$60</f>
        <v>0</v>
      </c>
      <c r="Q29" s="13">
        <f>'TR TUSD'!$Q$29*'TR TUSD'!$Q$60</f>
        <v>0</v>
      </c>
      <c r="R29" s="13">
        <f>'TR TUSD'!$R$29*'TR TUSD'!$R$60</f>
        <v>0</v>
      </c>
      <c r="S29" s="13">
        <f>'TR TUSD'!$S$29*'TR TUSD'!$S$60</f>
        <v>0</v>
      </c>
      <c r="T29" s="13">
        <f ca="1">SUM($L$29:$S$29)</f>
        <v>0.8640276214125725</v>
      </c>
      <c r="U29" s="13">
        <f>'TR TUSD'!$U$29*'TR TUSD'!$U$60</f>
        <v>0</v>
      </c>
      <c r="V29" s="13">
        <f>'TR TUSD'!$V$29*'TR TUSD'!$V$60</f>
        <v>0</v>
      </c>
      <c r="W29" s="13">
        <f>'TR TUSD'!$W$29*'TR TUSD'!$W$60</f>
        <v>0</v>
      </c>
      <c r="X29" s="13">
        <f>'TR TUSD'!$X$29*'TR TUSD'!$X$60</f>
        <v>0</v>
      </c>
      <c r="Y29" s="13">
        <f>'TR TUSD'!$Y$29*'TR TUSD'!$Y$60</f>
        <v>0</v>
      </c>
      <c r="Z29" s="13">
        <f>'TR TUSD'!$Z$29</f>
        <v>0</v>
      </c>
      <c r="AA29" s="13">
        <f>'TR TUSD'!$AA$29</f>
        <v>0</v>
      </c>
      <c r="AB29" s="13">
        <f>SUM($U$29:$AA$29)</f>
        <v>0</v>
      </c>
      <c r="AC29" s="13">
        <f>'TR TUSD'!$AC$29*'TR TUSD'!$AC$60</f>
        <v>0</v>
      </c>
      <c r="AD29" s="13">
        <f>SUM($AC$29:$AC$29)</f>
        <v>0</v>
      </c>
      <c r="AE29" s="13">
        <v>0</v>
      </c>
      <c r="AF29" s="13">
        <v>0</v>
      </c>
      <c r="AG29" s="13">
        <f>SUM($AE$29:$AF$29)</f>
        <v>0</v>
      </c>
      <c r="AH29" s="13">
        <f>'TR TUSD'!$AH$29*'TR TUSD'!$AH$60</f>
        <v>0</v>
      </c>
      <c r="AI29" s="13">
        <f>'TR TUSD'!$AI$29*'TR TUSD'!$AI$60</f>
        <v>0</v>
      </c>
      <c r="AJ29" s="13">
        <f ca="1">'TR TUSD'!$AJ$29*'TR TUSD'!$AJ$60</f>
        <v>0</v>
      </c>
      <c r="AK29" s="13">
        <f ca="1">'TR TUSD'!$AK$29*'TR TUSD'!$AK$60</f>
        <v>0</v>
      </c>
      <c r="AL29" s="13">
        <f ca="1">SUM($AH$29:$AK$29)</f>
        <v>0</v>
      </c>
      <c r="AM29" s="13">
        <f ca="1">SUMIF($L$4:$AL$4,"SUBTOTAL",$L$29:$AL$29)</f>
        <v>0.8640276214125725</v>
      </c>
      <c r="AP29" s="13">
        <f>IF((1 - CUSTOS!$M$27)&lt;&gt;0,1/(1 - CUSTOS!$M$27),1)</f>
        <v>1</v>
      </c>
    </row>
    <row r="30" spans="1:42" ht="11.25" customHeight="1" x14ac:dyDescent="0.3">
      <c r="A30" s="91" t="s">
        <v>39</v>
      </c>
      <c r="B30" s="91" t="s">
        <v>82</v>
      </c>
      <c r="C30" s="91" t="s">
        <v>40</v>
      </c>
      <c r="D30" s="91" t="s">
        <v>25</v>
      </c>
      <c r="E30" s="91" t="s">
        <v>25</v>
      </c>
      <c r="F30" s="91" t="s">
        <v>25</v>
      </c>
      <c r="G30" s="18" t="s">
        <v>69</v>
      </c>
      <c r="H30" s="18" t="s">
        <v>68</v>
      </c>
      <c r="I30" s="18">
        <f>'MERCADO TUSD'!$U$27</f>
        <v>0</v>
      </c>
      <c r="J30" s="15"/>
      <c r="L30" s="13">
        <f>'TR TUSD'!$L$30*'TR TUSD'!$L$60</f>
        <v>0</v>
      </c>
      <c r="M30" s="13">
        <f>'TR TUSD'!$M$30*'TR TUSD'!$M$60</f>
        <v>0.8640276214125725</v>
      </c>
      <c r="N30" s="13">
        <f ca="1">'TR TUSD'!$N$30*'TR TUSD'!$N$60</f>
        <v>0</v>
      </c>
      <c r="O30" s="13">
        <f>'TR TUSD'!$O$30*'TR TUSD'!$O$60</f>
        <v>0</v>
      </c>
      <c r="P30" s="13">
        <f>'TR TUSD'!$P$30*'TR TUSD'!$P$60</f>
        <v>0</v>
      </c>
      <c r="Q30" s="13">
        <f>'TR TUSD'!$Q$30*'TR TUSD'!$Q$60</f>
        <v>89.978368513069483</v>
      </c>
      <c r="R30" s="13">
        <f>'TR TUSD'!$R$30*'TR TUSD'!$R$60</f>
        <v>14.218765878443092</v>
      </c>
      <c r="S30" s="13">
        <f>'TR TUSD'!$S$30*'TR TUSD'!$S$60</f>
        <v>0</v>
      </c>
      <c r="T30" s="13">
        <f ca="1">SUM($L$30:$S$30)</f>
        <v>105.06116201292515</v>
      </c>
      <c r="U30" s="13">
        <f>'TR TUSD'!$U$30*'TR TUSD'!$U$60</f>
        <v>0</v>
      </c>
      <c r="V30" s="13">
        <f>'TR TUSD'!$V$30*'TR TUSD'!$V$60</f>
        <v>0</v>
      </c>
      <c r="W30" s="13">
        <f>'TR TUSD'!$W$30*'TR TUSD'!$W$60</f>
        <v>0</v>
      </c>
      <c r="X30" s="13">
        <f>'TR TUSD'!$X$30*'TR TUSD'!$X$60</f>
        <v>0</v>
      </c>
      <c r="Y30" s="13">
        <f>'TR TUSD'!$Y$30*'TR TUSD'!$Y$60</f>
        <v>294.09196718023827</v>
      </c>
      <c r="Z30" s="13">
        <f>'TR TUSD'!$Z$30</f>
        <v>0</v>
      </c>
      <c r="AA30" s="13">
        <f>'TR TUSD'!$AA$30</f>
        <v>0</v>
      </c>
      <c r="AB30" s="13">
        <f>SUM($U$30:$AA$30)</f>
        <v>294.09196718023827</v>
      </c>
      <c r="AC30" s="13">
        <f>'TR TUSD'!$AC$30*'TR TUSD'!$AC$60</f>
        <v>572.94801420396732</v>
      </c>
      <c r="AD30" s="13">
        <f>SUM($AC$30:$AC$30)</f>
        <v>572.94801420396732</v>
      </c>
      <c r="AE30" s="13">
        <v>0</v>
      </c>
      <c r="AF30" s="13">
        <v>0</v>
      </c>
      <c r="AG30" s="13">
        <f>SUM($AE$30:$AF$30)</f>
        <v>0</v>
      </c>
      <c r="AH30" s="13">
        <f>'TR TUSD'!$AH$30*'TR TUSD'!$AH$60</f>
        <v>16.918550688263945</v>
      </c>
      <c r="AI30" s="13">
        <f>'TR TUSD'!$AI$30*'TR TUSD'!$AI$60</f>
        <v>0</v>
      </c>
      <c r="AJ30" s="13">
        <f ca="1">'TR TUSD'!$AJ$30*'TR TUSD'!$AJ$60</f>
        <v>0</v>
      </c>
      <c r="AK30" s="13">
        <f ca="1">'TR TUSD'!$AK$30*'TR TUSD'!$AK$60</f>
        <v>0</v>
      </c>
      <c r="AL30" s="13">
        <f ca="1">SUM($AH$30:$AK$30)</f>
        <v>16.918550688263945</v>
      </c>
      <c r="AM30" s="13">
        <f ca="1">SUMIF($L$4:$AL$4,"SUBTOTAL",$L$30:$AL$30)</f>
        <v>989.01969408539469</v>
      </c>
      <c r="AP30" s="13">
        <f>IF((1 - CUSTOS!$M$28)&lt;&gt;0,1/(1 - CUSTOS!$M$28),1)</f>
        <v>1</v>
      </c>
    </row>
    <row r="31" spans="1:42" ht="11.25" customHeight="1" x14ac:dyDescent="0.3">
      <c r="A31" s="91"/>
      <c r="B31" s="91"/>
      <c r="C31" s="91"/>
      <c r="D31" s="91"/>
      <c r="E31" s="91"/>
      <c r="F31" s="91"/>
      <c r="G31" s="18" t="s">
        <v>80</v>
      </c>
      <c r="H31" s="18" t="s">
        <v>68</v>
      </c>
      <c r="I31" s="18">
        <f>'MERCADO TUSD'!$U$28</f>
        <v>0</v>
      </c>
      <c r="J31" s="15"/>
      <c r="L31" s="13">
        <f>'TR TUSD'!$L$31*'TR TUSD'!$L$60</f>
        <v>0</v>
      </c>
      <c r="M31" s="13">
        <f>'TR TUSD'!$M$31*'TR TUSD'!$M$60</f>
        <v>0.8640276214125725</v>
      </c>
      <c r="N31" s="13">
        <f ca="1">'TR TUSD'!$N$31*'TR TUSD'!$N$60</f>
        <v>0</v>
      </c>
      <c r="O31" s="13">
        <f>'TR TUSD'!$O$31*'TR TUSD'!$O$60</f>
        <v>0</v>
      </c>
      <c r="P31" s="13">
        <f>'TR TUSD'!$P$31*'TR TUSD'!$P$60</f>
        <v>0</v>
      </c>
      <c r="Q31" s="13">
        <f>'TR TUSD'!$Q$31*'TR TUSD'!$Q$60</f>
        <v>89.978368513069483</v>
      </c>
      <c r="R31" s="13">
        <f>'TR TUSD'!$R$31*'TR TUSD'!$R$60</f>
        <v>14.218765878443092</v>
      </c>
      <c r="S31" s="13">
        <f>'TR TUSD'!$S$31*'TR TUSD'!$S$60</f>
        <v>0</v>
      </c>
      <c r="T31" s="13">
        <f ca="1">SUM($L$31:$S$31)</f>
        <v>105.06116201292515</v>
      </c>
      <c r="U31" s="13">
        <f>'TR TUSD'!$U$31*'TR TUSD'!$U$60</f>
        <v>0</v>
      </c>
      <c r="V31" s="13">
        <f>'TR TUSD'!$V$31*'TR TUSD'!$V$60</f>
        <v>0</v>
      </c>
      <c r="W31" s="13">
        <f>'TR TUSD'!$W$31*'TR TUSD'!$W$60</f>
        <v>0</v>
      </c>
      <c r="X31" s="13">
        <f>'TR TUSD'!$X$31*'TR TUSD'!$X$60</f>
        <v>0</v>
      </c>
      <c r="Y31" s="13">
        <f>'TR TUSD'!$Y$31*'TR TUSD'!$Y$60</f>
        <v>176.43550294937174</v>
      </c>
      <c r="Z31" s="13">
        <f>'TR TUSD'!$Z$31</f>
        <v>0</v>
      </c>
      <c r="AA31" s="13">
        <f>'TR TUSD'!$AA$31</f>
        <v>0</v>
      </c>
      <c r="AB31" s="13">
        <f>SUM($U$31:$AA$31)</f>
        <v>176.43550294937174</v>
      </c>
      <c r="AC31" s="13">
        <f>'TR TUSD'!$AC$31*'TR TUSD'!$AC$60</f>
        <v>343.76869207489676</v>
      </c>
      <c r="AD31" s="13">
        <f>SUM($AC$31:$AC$31)</f>
        <v>343.76869207489676</v>
      </c>
      <c r="AE31" s="13">
        <v>0</v>
      </c>
      <c r="AF31" s="13">
        <v>0</v>
      </c>
      <c r="AG31" s="13">
        <f>SUM($AE$31:$AF$31)</f>
        <v>0</v>
      </c>
      <c r="AH31" s="13">
        <f>'TR TUSD'!$AH$31*'TR TUSD'!$AH$60</f>
        <v>16.918550688263945</v>
      </c>
      <c r="AI31" s="13">
        <f>'TR TUSD'!$AI$31*'TR TUSD'!$AI$60</f>
        <v>0</v>
      </c>
      <c r="AJ31" s="13">
        <f ca="1">'TR TUSD'!$AJ$31*'TR TUSD'!$AJ$60</f>
        <v>0</v>
      </c>
      <c r="AK31" s="13">
        <f ca="1">'TR TUSD'!$AK$31*'TR TUSD'!$AK$60</f>
        <v>0</v>
      </c>
      <c r="AL31" s="13">
        <f ca="1">SUM($AH$31:$AK$31)</f>
        <v>16.918550688263945</v>
      </c>
      <c r="AM31" s="13">
        <f ca="1">SUMIF($L$4:$AL$4,"SUBTOTAL",$L$31:$AL$31)</f>
        <v>642.18390772545763</v>
      </c>
      <c r="AP31" s="13">
        <f>IF((1 - CUSTOS!$M$28)&lt;&gt;0,1/(1 - CUSTOS!$M$28),1)</f>
        <v>1</v>
      </c>
    </row>
    <row r="32" spans="1:42" ht="11.25" customHeight="1" x14ac:dyDescent="0.3">
      <c r="A32" s="91"/>
      <c r="B32" s="91"/>
      <c r="C32" s="91"/>
      <c r="D32" s="91"/>
      <c r="E32" s="91"/>
      <c r="F32" s="91"/>
      <c r="G32" s="18" t="s">
        <v>70</v>
      </c>
      <c r="H32" s="18" t="s">
        <v>68</v>
      </c>
      <c r="I32" s="18">
        <f>'MERCADO TUSD'!$U$29</f>
        <v>0</v>
      </c>
      <c r="J32" s="15"/>
      <c r="L32" s="13">
        <f>'TR TUSD'!$L$32*'TR TUSD'!$L$60</f>
        <v>0</v>
      </c>
      <c r="M32" s="13">
        <f>'TR TUSD'!$M$32*'TR TUSD'!$M$60</f>
        <v>0.8640276214125725</v>
      </c>
      <c r="N32" s="13">
        <f ca="1">'TR TUSD'!$N$32*'TR TUSD'!$N$60</f>
        <v>0</v>
      </c>
      <c r="O32" s="13">
        <f>'TR TUSD'!$O$32*'TR TUSD'!$O$60</f>
        <v>0</v>
      </c>
      <c r="P32" s="13">
        <f>'TR TUSD'!$P$32*'TR TUSD'!$P$60</f>
        <v>0</v>
      </c>
      <c r="Q32" s="13">
        <f>'TR TUSD'!$Q$32*'TR TUSD'!$Q$60</f>
        <v>89.978368513069483</v>
      </c>
      <c r="R32" s="13">
        <f>'TR TUSD'!$R$32*'TR TUSD'!$R$60</f>
        <v>14.218765878443092</v>
      </c>
      <c r="S32" s="13">
        <f>'TR TUSD'!$S$32*'TR TUSD'!$S$60</f>
        <v>0</v>
      </c>
      <c r="T32" s="13">
        <f ca="1">SUM($L$32:$S$32)</f>
        <v>105.06116201292515</v>
      </c>
      <c r="U32" s="13">
        <f>'TR TUSD'!$U$32*'TR TUSD'!$U$60</f>
        <v>0</v>
      </c>
      <c r="V32" s="13">
        <f>'TR TUSD'!$V$32*'TR TUSD'!$V$60</f>
        <v>0</v>
      </c>
      <c r="W32" s="13">
        <f>'TR TUSD'!$W$32*'TR TUSD'!$W$60</f>
        <v>0</v>
      </c>
      <c r="X32" s="13">
        <f>'TR TUSD'!$X$32*'TR TUSD'!$X$60</f>
        <v>0</v>
      </c>
      <c r="Y32" s="13">
        <f>'TR TUSD'!$Y$32*'TR TUSD'!$Y$60</f>
        <v>58.779038718505191</v>
      </c>
      <c r="Z32" s="13">
        <f>'TR TUSD'!$Z$32</f>
        <v>0</v>
      </c>
      <c r="AA32" s="13">
        <f>'TR TUSD'!$AA$32</f>
        <v>0</v>
      </c>
      <c r="AB32" s="13">
        <f>SUM($U$32:$AA$32)</f>
        <v>58.779038718505191</v>
      </c>
      <c r="AC32" s="13">
        <f>'TR TUSD'!$AC$32*'TR TUSD'!$AC$60</f>
        <v>114.58956402496561</v>
      </c>
      <c r="AD32" s="13">
        <f>SUM($AC$32:$AC$32)</f>
        <v>114.58956402496561</v>
      </c>
      <c r="AE32" s="13">
        <v>0</v>
      </c>
      <c r="AF32" s="13">
        <v>0</v>
      </c>
      <c r="AG32" s="13">
        <f>SUM($AE$32:$AF$32)</f>
        <v>0</v>
      </c>
      <c r="AH32" s="13">
        <f>'TR TUSD'!$AH$32*'TR TUSD'!$AH$60</f>
        <v>16.918550688263945</v>
      </c>
      <c r="AI32" s="13">
        <f>'TR TUSD'!$AI$32*'TR TUSD'!$AI$60</f>
        <v>0</v>
      </c>
      <c r="AJ32" s="13">
        <f ca="1">'TR TUSD'!$AJ$32*'TR TUSD'!$AJ$60</f>
        <v>0</v>
      </c>
      <c r="AK32" s="13">
        <f ca="1">'TR TUSD'!$AK$32*'TR TUSD'!$AK$60</f>
        <v>0</v>
      </c>
      <c r="AL32" s="13">
        <f ca="1">SUM($AH$32:$AK$32)</f>
        <v>16.918550688263945</v>
      </c>
      <c r="AM32" s="13">
        <f ca="1">SUMIF($L$4:$AL$4,"SUBTOTAL",$L$32:$AL$32)</f>
        <v>295.34831544465993</v>
      </c>
      <c r="AP32" s="13">
        <f>IF((1 - CUSTOS!$M$28)&lt;&gt;0,1/(1 - CUSTOS!$M$28),1)</f>
        <v>1</v>
      </c>
    </row>
    <row r="33" spans="1:42" ht="11.25" customHeight="1" x14ac:dyDescent="0.3">
      <c r="A33" s="91"/>
      <c r="B33" s="17" t="s">
        <v>23</v>
      </c>
      <c r="C33" s="17" t="s">
        <v>40</v>
      </c>
      <c r="D33" s="17" t="s">
        <v>25</v>
      </c>
      <c r="E33" s="17" t="s">
        <v>25</v>
      </c>
      <c r="F33" s="17" t="s">
        <v>25</v>
      </c>
      <c r="G33" s="18" t="s">
        <v>74</v>
      </c>
      <c r="H33" s="18" t="s">
        <v>68</v>
      </c>
      <c r="I33" s="18">
        <f>'MERCADO TUSD'!$U$30</f>
        <v>5733.0710000000008</v>
      </c>
      <c r="J33" s="15"/>
      <c r="L33" s="13">
        <f>'TR TUSD'!$L$33*'TR TUSD'!$L$60</f>
        <v>0</v>
      </c>
      <c r="M33" s="13">
        <f>'TR TUSD'!$M$33*'TR TUSD'!$M$60</f>
        <v>0.8640276214125725</v>
      </c>
      <c r="N33" s="13">
        <f ca="1">'TR TUSD'!$N$33*'TR TUSD'!$N$60</f>
        <v>0</v>
      </c>
      <c r="O33" s="13">
        <f>'TR TUSD'!$O$33*'TR TUSD'!$O$60</f>
        <v>0</v>
      </c>
      <c r="P33" s="13">
        <f>'TR TUSD'!$P$33*'TR TUSD'!$P$60</f>
        <v>0</v>
      </c>
      <c r="Q33" s="13">
        <f>'TR TUSD'!$Q$33*'TR TUSD'!$Q$60</f>
        <v>89.978368513069483</v>
      </c>
      <c r="R33" s="13">
        <f>'TR TUSD'!$R$33*'TR TUSD'!$R$60</f>
        <v>14.218765878443092</v>
      </c>
      <c r="S33" s="13">
        <f>'TR TUSD'!$S$33*'TR TUSD'!$S$60</f>
        <v>0</v>
      </c>
      <c r="T33" s="13">
        <f ca="1">SUM($L$33:$S$33)</f>
        <v>105.06116201292515</v>
      </c>
      <c r="U33" s="13">
        <f>'TR TUSD'!$U$33*'TR TUSD'!$U$60</f>
        <v>0</v>
      </c>
      <c r="V33" s="13">
        <f>'TR TUSD'!$V$33*'TR TUSD'!$V$60</f>
        <v>0</v>
      </c>
      <c r="W33" s="13">
        <f>'TR TUSD'!$W$33*'TR TUSD'!$W$60</f>
        <v>0</v>
      </c>
      <c r="X33" s="13">
        <f>'TR TUSD'!$X$33*'TR TUSD'!$X$60</f>
        <v>0</v>
      </c>
      <c r="Y33" s="13">
        <f>'TR TUSD'!$Y$33*'TR TUSD'!$Y$60</f>
        <v>99.688087077681246</v>
      </c>
      <c r="Z33" s="13">
        <f>'TR TUSD'!$Z$33</f>
        <v>0</v>
      </c>
      <c r="AA33" s="13">
        <f>'TR TUSD'!$AA$33</f>
        <v>0</v>
      </c>
      <c r="AB33" s="13">
        <f>SUM($U$33:$AA$33)</f>
        <v>99.688087077681246</v>
      </c>
      <c r="AC33" s="13">
        <f>'TR TUSD'!$AC$33*'TR TUSD'!$AC$60</f>
        <v>194.2196526739456</v>
      </c>
      <c r="AD33" s="13">
        <f>SUM($AC$33:$AC$33)</f>
        <v>194.2196526739456</v>
      </c>
      <c r="AE33" s="13">
        <v>0</v>
      </c>
      <c r="AF33" s="13">
        <v>0</v>
      </c>
      <c r="AG33" s="13">
        <f>SUM($AE$33:$AF$33)</f>
        <v>0</v>
      </c>
      <c r="AH33" s="13">
        <f>'TR TUSD'!$AH$33*'TR TUSD'!$AH$60</f>
        <v>16.918550688263945</v>
      </c>
      <c r="AI33" s="13">
        <f>'TR TUSD'!$AI$33*'TR TUSD'!$AI$60</f>
        <v>0</v>
      </c>
      <c r="AJ33" s="13">
        <f ca="1">'TR TUSD'!$AJ$33*'TR TUSD'!$AJ$60</f>
        <v>0</v>
      </c>
      <c r="AK33" s="13">
        <f ca="1">'TR TUSD'!$AK$33*'TR TUSD'!$AK$60</f>
        <v>0</v>
      </c>
      <c r="AL33" s="13">
        <f ca="1">SUM($AH$33:$AK$33)</f>
        <v>16.918550688263945</v>
      </c>
      <c r="AM33" s="13">
        <f ca="1">SUMIF($L$4:$AL$4,"SUBTOTAL",$L$33:$AL$33)</f>
        <v>415.88745245281598</v>
      </c>
      <c r="AP33" s="13">
        <f>IF((1 - CUSTOS!$M$28)&lt;&gt;0,1/(1 - CUSTOS!$M$28),1)</f>
        <v>1</v>
      </c>
    </row>
    <row r="34" spans="1:42" ht="11.25" customHeight="1" x14ac:dyDescent="0.3">
      <c r="A34" s="91"/>
      <c r="B34" s="91" t="s">
        <v>82</v>
      </c>
      <c r="C34" s="91" t="s">
        <v>40</v>
      </c>
      <c r="D34" s="91" t="s">
        <v>85</v>
      </c>
      <c r="E34" s="91" t="s">
        <v>25</v>
      </c>
      <c r="F34" s="91" t="s">
        <v>25</v>
      </c>
      <c r="G34" s="18" t="s">
        <v>69</v>
      </c>
      <c r="H34" s="18" t="s">
        <v>68</v>
      </c>
      <c r="I34" s="18">
        <f>'MERCADO TUSD'!$U$31</f>
        <v>0</v>
      </c>
      <c r="J34" s="15"/>
      <c r="L34" s="13">
        <f>'TR TUSD'!$L$34*'TR TUSD'!$L$60</f>
        <v>0</v>
      </c>
      <c r="M34" s="13">
        <f>'TR TUSD'!$M$34*'TR TUSD'!$M$60</f>
        <v>0.8640276214125725</v>
      </c>
      <c r="N34" s="13">
        <f ca="1">'TR TUSD'!$N$34*'TR TUSD'!$N$60</f>
        <v>0</v>
      </c>
      <c r="O34" s="13">
        <f>'TR TUSD'!$O$34*'TR TUSD'!$O$60</f>
        <v>0</v>
      </c>
      <c r="P34" s="13">
        <f>'TR TUSD'!$P$34*'TR TUSD'!$P$60</f>
        <v>0</v>
      </c>
      <c r="Q34" s="13">
        <f>'TR TUSD'!$Q$34*'TR TUSD'!$Q$60</f>
        <v>89.978368513069483</v>
      </c>
      <c r="R34" s="13">
        <f>'TR TUSD'!$R$34*'TR TUSD'!$R$60</f>
        <v>14.218765878443092</v>
      </c>
      <c r="S34" s="13">
        <f>'TR TUSD'!$S$34*'TR TUSD'!$S$60</f>
        <v>0</v>
      </c>
      <c r="T34" s="13">
        <f ca="1">SUM($L$34:$S$34)</f>
        <v>105.06116201292515</v>
      </c>
      <c r="U34" s="13">
        <f>'TR TUSD'!$U$34*'TR TUSD'!$U$60</f>
        <v>0</v>
      </c>
      <c r="V34" s="13">
        <f>'TR TUSD'!$V$34*'TR TUSD'!$V$60</f>
        <v>0</v>
      </c>
      <c r="W34" s="13">
        <f>'TR TUSD'!$W$34*'TR TUSD'!$W$60</f>
        <v>0</v>
      </c>
      <c r="X34" s="13">
        <f>'TR TUSD'!$X$34*'TR TUSD'!$X$60</f>
        <v>0</v>
      </c>
      <c r="Y34" s="13">
        <f>'TR TUSD'!$Y$34*'TR TUSD'!$Y$60</f>
        <v>294.09196718023827</v>
      </c>
      <c r="Z34" s="13">
        <f>'TR TUSD'!$Z$34</f>
        <v>0</v>
      </c>
      <c r="AA34" s="13">
        <f>'TR TUSD'!$AA$34</f>
        <v>0</v>
      </c>
      <c r="AB34" s="13">
        <f>SUM($U$34:$AA$34)</f>
        <v>294.09196718023827</v>
      </c>
      <c r="AC34" s="13">
        <f>'TR TUSD'!$AC$34*'TR TUSD'!$AC$60</f>
        <v>572.94801420396732</v>
      </c>
      <c r="AD34" s="13">
        <f>SUM($AC$34:$AC$34)</f>
        <v>572.94801420396732</v>
      </c>
      <c r="AE34" s="13">
        <v>0</v>
      </c>
      <c r="AF34" s="13">
        <v>0</v>
      </c>
      <c r="AG34" s="13">
        <f>SUM($AE$34:$AF$34)</f>
        <v>0</v>
      </c>
      <c r="AH34" s="13">
        <f>'TR TUSD'!$AH$34*'TR TUSD'!$AH$60</f>
        <v>16.918550688263945</v>
      </c>
      <c r="AI34" s="13">
        <f>'TR TUSD'!$AI$34*'TR TUSD'!$AI$60</f>
        <v>0</v>
      </c>
      <c r="AJ34" s="13">
        <f ca="1">'TR TUSD'!$AJ$34*'TR TUSD'!$AJ$60</f>
        <v>0</v>
      </c>
      <c r="AK34" s="13">
        <f ca="1">'TR TUSD'!$AK$34*'TR TUSD'!$AK$60</f>
        <v>0</v>
      </c>
      <c r="AL34" s="13">
        <f ca="1">SUM($AH$34:$AK$34)</f>
        <v>16.918550688263945</v>
      </c>
      <c r="AM34" s="13">
        <f ca="1">SUMIF($L$4:$AL$4,"SUBTOTAL",$L$34:$AL$34)</f>
        <v>989.01969408539469</v>
      </c>
      <c r="AP34" s="13">
        <f>IF((1 - CUSTOS!$M$29)&lt;&gt;0,1/(1 - CUSTOS!$M$29),1)</f>
        <v>1</v>
      </c>
    </row>
    <row r="35" spans="1:42" ht="11.25" customHeight="1" x14ac:dyDescent="0.3">
      <c r="A35" s="91"/>
      <c r="B35" s="91"/>
      <c r="C35" s="91"/>
      <c r="D35" s="91"/>
      <c r="E35" s="91"/>
      <c r="F35" s="91"/>
      <c r="G35" s="18" t="s">
        <v>80</v>
      </c>
      <c r="H35" s="18" t="s">
        <v>68</v>
      </c>
      <c r="I35" s="18">
        <f>'MERCADO TUSD'!$U$32</f>
        <v>0</v>
      </c>
      <c r="J35" s="15"/>
      <c r="L35" s="13">
        <f>'TR TUSD'!$L$35*'TR TUSD'!$L$60</f>
        <v>0</v>
      </c>
      <c r="M35" s="13">
        <f>'TR TUSD'!$M$35*'TR TUSD'!$M$60</f>
        <v>0.8640276214125725</v>
      </c>
      <c r="N35" s="13">
        <f ca="1">'TR TUSD'!$N$35*'TR TUSD'!$N$60</f>
        <v>0</v>
      </c>
      <c r="O35" s="13">
        <f>'TR TUSD'!$O$35*'TR TUSD'!$O$60</f>
        <v>0</v>
      </c>
      <c r="P35" s="13">
        <f>'TR TUSD'!$P$35*'TR TUSD'!$P$60</f>
        <v>0</v>
      </c>
      <c r="Q35" s="13">
        <f>'TR TUSD'!$Q$35*'TR TUSD'!$Q$60</f>
        <v>89.978368513069483</v>
      </c>
      <c r="R35" s="13">
        <f>'TR TUSD'!$R$35*'TR TUSD'!$R$60</f>
        <v>14.218765878443092</v>
      </c>
      <c r="S35" s="13">
        <f>'TR TUSD'!$S$35*'TR TUSD'!$S$60</f>
        <v>0</v>
      </c>
      <c r="T35" s="13">
        <f ca="1">SUM($L$35:$S$35)</f>
        <v>105.06116201292515</v>
      </c>
      <c r="U35" s="13">
        <f>'TR TUSD'!$U$35*'TR TUSD'!$U$60</f>
        <v>0</v>
      </c>
      <c r="V35" s="13">
        <f>'TR TUSD'!$V$35*'TR TUSD'!$V$60</f>
        <v>0</v>
      </c>
      <c r="W35" s="13">
        <f>'TR TUSD'!$W$35*'TR TUSD'!$W$60</f>
        <v>0</v>
      </c>
      <c r="X35" s="13">
        <f>'TR TUSD'!$X$35*'TR TUSD'!$X$60</f>
        <v>0</v>
      </c>
      <c r="Y35" s="13">
        <f>'TR TUSD'!$Y$35*'TR TUSD'!$Y$60</f>
        <v>176.43550294937174</v>
      </c>
      <c r="Z35" s="13">
        <f>'TR TUSD'!$Z$35</f>
        <v>0</v>
      </c>
      <c r="AA35" s="13">
        <f>'TR TUSD'!$AA$35</f>
        <v>0</v>
      </c>
      <c r="AB35" s="13">
        <f>SUM($U$35:$AA$35)</f>
        <v>176.43550294937174</v>
      </c>
      <c r="AC35" s="13">
        <f>'TR TUSD'!$AC$35*'TR TUSD'!$AC$60</f>
        <v>343.76869207489676</v>
      </c>
      <c r="AD35" s="13">
        <f>SUM($AC$35:$AC$35)</f>
        <v>343.76869207489676</v>
      </c>
      <c r="AE35" s="13">
        <v>0</v>
      </c>
      <c r="AF35" s="13">
        <v>0</v>
      </c>
      <c r="AG35" s="13">
        <f>SUM($AE$35:$AF$35)</f>
        <v>0</v>
      </c>
      <c r="AH35" s="13">
        <f>'TR TUSD'!$AH$35*'TR TUSD'!$AH$60</f>
        <v>16.918550688263945</v>
      </c>
      <c r="AI35" s="13">
        <f>'TR TUSD'!$AI$35*'TR TUSD'!$AI$60</f>
        <v>0</v>
      </c>
      <c r="AJ35" s="13">
        <f ca="1">'TR TUSD'!$AJ$35*'TR TUSD'!$AJ$60</f>
        <v>0</v>
      </c>
      <c r="AK35" s="13">
        <f ca="1">'TR TUSD'!$AK$35*'TR TUSD'!$AK$60</f>
        <v>0</v>
      </c>
      <c r="AL35" s="13">
        <f ca="1">SUM($AH$35:$AK$35)</f>
        <v>16.918550688263945</v>
      </c>
      <c r="AM35" s="13">
        <f ca="1">SUMIF($L$4:$AL$4,"SUBTOTAL",$L$35:$AL$35)</f>
        <v>642.18390772545763</v>
      </c>
      <c r="AP35" s="13">
        <f>IF((1 - CUSTOS!$M$29)&lt;&gt;0,1/(1 - CUSTOS!$M$29),1)</f>
        <v>1</v>
      </c>
    </row>
    <row r="36" spans="1:42" ht="11.25" customHeight="1" x14ac:dyDescent="0.3">
      <c r="A36" s="91"/>
      <c r="B36" s="91"/>
      <c r="C36" s="91"/>
      <c r="D36" s="91"/>
      <c r="E36" s="91"/>
      <c r="F36" s="91"/>
      <c r="G36" s="18" t="s">
        <v>70</v>
      </c>
      <c r="H36" s="18" t="s">
        <v>68</v>
      </c>
      <c r="I36" s="18">
        <f>'MERCADO TUSD'!$U$33</f>
        <v>0</v>
      </c>
      <c r="J36" s="15"/>
      <c r="L36" s="13">
        <f>'TR TUSD'!$L$36*'TR TUSD'!$L$60</f>
        <v>0</v>
      </c>
      <c r="M36" s="13">
        <f>'TR TUSD'!$M$36*'TR TUSD'!$M$60</f>
        <v>0.8640276214125725</v>
      </c>
      <c r="N36" s="13">
        <f ca="1">'TR TUSD'!$N$36*'TR TUSD'!$N$60</f>
        <v>0</v>
      </c>
      <c r="O36" s="13">
        <f>'TR TUSD'!$O$36*'TR TUSD'!$O$60</f>
        <v>0</v>
      </c>
      <c r="P36" s="13">
        <f>'TR TUSD'!$P$36*'TR TUSD'!$P$60</f>
        <v>0</v>
      </c>
      <c r="Q36" s="13">
        <f>'TR TUSD'!$Q$36*'TR TUSD'!$Q$60</f>
        <v>89.978368513069483</v>
      </c>
      <c r="R36" s="13">
        <f>'TR TUSD'!$R$36*'TR TUSD'!$R$60</f>
        <v>14.218765878443092</v>
      </c>
      <c r="S36" s="13">
        <f>'TR TUSD'!$S$36*'TR TUSD'!$S$60</f>
        <v>0</v>
      </c>
      <c r="T36" s="13">
        <f ca="1">SUM($L$36:$S$36)</f>
        <v>105.06116201292515</v>
      </c>
      <c r="U36" s="13">
        <f>'TR TUSD'!$U$36*'TR TUSD'!$U$60</f>
        <v>0</v>
      </c>
      <c r="V36" s="13">
        <f>'TR TUSD'!$V$36*'TR TUSD'!$V$60</f>
        <v>0</v>
      </c>
      <c r="W36" s="13">
        <f>'TR TUSD'!$W$36*'TR TUSD'!$W$60</f>
        <v>0</v>
      </c>
      <c r="X36" s="13">
        <f>'TR TUSD'!$X$36*'TR TUSD'!$X$60</f>
        <v>0</v>
      </c>
      <c r="Y36" s="13">
        <f>'TR TUSD'!$Y$36*'TR TUSD'!$Y$60</f>
        <v>58.779038718505191</v>
      </c>
      <c r="Z36" s="13">
        <f>'TR TUSD'!$Z$36</f>
        <v>0</v>
      </c>
      <c r="AA36" s="13">
        <f>'TR TUSD'!$AA$36</f>
        <v>0</v>
      </c>
      <c r="AB36" s="13">
        <f>SUM($U$36:$AA$36)</f>
        <v>58.779038718505191</v>
      </c>
      <c r="AC36" s="13">
        <f>'TR TUSD'!$AC$36*'TR TUSD'!$AC$60</f>
        <v>114.58956402496561</v>
      </c>
      <c r="AD36" s="13">
        <f>SUM($AC$36:$AC$36)</f>
        <v>114.58956402496561</v>
      </c>
      <c r="AE36" s="13">
        <v>0</v>
      </c>
      <c r="AF36" s="13">
        <v>0</v>
      </c>
      <c r="AG36" s="13">
        <f>SUM($AE$36:$AF$36)</f>
        <v>0</v>
      </c>
      <c r="AH36" s="13">
        <f>'TR TUSD'!$AH$36*'TR TUSD'!$AH$60</f>
        <v>16.918550688263945</v>
      </c>
      <c r="AI36" s="13">
        <f>'TR TUSD'!$AI$36*'TR TUSD'!$AI$60</f>
        <v>0</v>
      </c>
      <c r="AJ36" s="13">
        <f ca="1">'TR TUSD'!$AJ$36*'TR TUSD'!$AJ$60</f>
        <v>0</v>
      </c>
      <c r="AK36" s="13">
        <f ca="1">'TR TUSD'!$AK$36*'TR TUSD'!$AK$60</f>
        <v>0</v>
      </c>
      <c r="AL36" s="13">
        <f ca="1">SUM($AH$36:$AK$36)</f>
        <v>16.918550688263945</v>
      </c>
      <c r="AM36" s="13">
        <f ca="1">SUMIF($L$4:$AL$4,"SUBTOTAL",$L$36:$AL$36)</f>
        <v>295.34831544465993</v>
      </c>
      <c r="AP36" s="13">
        <f>IF((1 - CUSTOS!$M$29)&lt;&gt;0,1/(1 - CUSTOS!$M$29),1)</f>
        <v>1</v>
      </c>
    </row>
    <row r="37" spans="1:42" ht="11.25" customHeight="1" x14ac:dyDescent="0.3">
      <c r="A37" s="91"/>
      <c r="B37" s="17" t="s">
        <v>23</v>
      </c>
      <c r="C37" s="17" t="s">
        <v>40</v>
      </c>
      <c r="D37" s="17" t="s">
        <v>85</v>
      </c>
      <c r="E37" s="17" t="s">
        <v>25</v>
      </c>
      <c r="F37" s="17" t="s">
        <v>25</v>
      </c>
      <c r="G37" s="18" t="s">
        <v>74</v>
      </c>
      <c r="H37" s="18" t="s">
        <v>68</v>
      </c>
      <c r="I37" s="18">
        <f>'MERCADO TUSD'!$U$34</f>
        <v>0</v>
      </c>
      <c r="J37" s="15"/>
      <c r="L37" s="13">
        <f>'TR TUSD'!$L$37*'TR TUSD'!$L$60</f>
        <v>0</v>
      </c>
      <c r="M37" s="13">
        <f>'TR TUSD'!$M$37*'TR TUSD'!$M$60</f>
        <v>0.8640276214125725</v>
      </c>
      <c r="N37" s="13">
        <f ca="1">'TR TUSD'!$N$37*'TR TUSD'!$N$60</f>
        <v>0</v>
      </c>
      <c r="O37" s="13">
        <f>'TR TUSD'!$O$37*'TR TUSD'!$O$60</f>
        <v>0</v>
      </c>
      <c r="P37" s="13">
        <f>'TR TUSD'!$P$37*'TR TUSD'!$P$60</f>
        <v>0</v>
      </c>
      <c r="Q37" s="13">
        <f>'TR TUSD'!$Q$37*'TR TUSD'!$Q$60</f>
        <v>89.978368513069483</v>
      </c>
      <c r="R37" s="13">
        <f>'TR TUSD'!$R$37*'TR TUSD'!$R$60</f>
        <v>14.218765878443092</v>
      </c>
      <c r="S37" s="13">
        <f>'TR TUSD'!$S$37*'TR TUSD'!$S$60</f>
        <v>0</v>
      </c>
      <c r="T37" s="13">
        <f ca="1">SUM($L$37:$S$37)</f>
        <v>105.06116201292515</v>
      </c>
      <c r="U37" s="13">
        <f>'TR TUSD'!$U$37*'TR TUSD'!$U$60</f>
        <v>0</v>
      </c>
      <c r="V37" s="13">
        <f>'TR TUSD'!$V$37*'TR TUSD'!$V$60</f>
        <v>0</v>
      </c>
      <c r="W37" s="13">
        <f>'TR TUSD'!$W$37*'TR TUSD'!$W$60</f>
        <v>0</v>
      </c>
      <c r="X37" s="13">
        <f>'TR TUSD'!$X$37*'TR TUSD'!$X$60</f>
        <v>0</v>
      </c>
      <c r="Y37" s="13">
        <f>'TR TUSD'!$Y$37*'TR TUSD'!$Y$60</f>
        <v>99.688087077681246</v>
      </c>
      <c r="Z37" s="13">
        <f>'TR TUSD'!$Z$37</f>
        <v>0</v>
      </c>
      <c r="AA37" s="13">
        <f>'TR TUSD'!$AA$37</f>
        <v>0</v>
      </c>
      <c r="AB37" s="13">
        <f>SUM($U$37:$AA$37)</f>
        <v>99.688087077681246</v>
      </c>
      <c r="AC37" s="13">
        <f>'TR TUSD'!$AC$37*'TR TUSD'!$AC$60</f>
        <v>194.2196526739456</v>
      </c>
      <c r="AD37" s="13">
        <f>SUM($AC$37:$AC$37)</f>
        <v>194.2196526739456</v>
      </c>
      <c r="AE37" s="13">
        <v>0</v>
      </c>
      <c r="AF37" s="13">
        <v>0</v>
      </c>
      <c r="AG37" s="13">
        <f>SUM($AE$37:$AF$37)</f>
        <v>0</v>
      </c>
      <c r="AH37" s="13">
        <f>'TR TUSD'!$AH$37*'TR TUSD'!$AH$60</f>
        <v>16.918550688263945</v>
      </c>
      <c r="AI37" s="13">
        <f>'TR TUSD'!$AI$37*'TR TUSD'!$AI$60</f>
        <v>0</v>
      </c>
      <c r="AJ37" s="13">
        <f ca="1">'TR TUSD'!$AJ$37*'TR TUSD'!$AJ$60</f>
        <v>0</v>
      </c>
      <c r="AK37" s="13">
        <f ca="1">'TR TUSD'!$AK$37*'TR TUSD'!$AK$60</f>
        <v>0</v>
      </c>
      <c r="AL37" s="13">
        <f ca="1">SUM($AH$37:$AK$37)</f>
        <v>16.918550688263945</v>
      </c>
      <c r="AM37" s="13">
        <f ca="1">SUMIF($L$4:$AL$4,"SUBTOTAL",$L$37:$AL$37)</f>
        <v>415.88745245281598</v>
      </c>
      <c r="AP37" s="13">
        <f>IF((1 - CUSTOS!$M$29)&lt;&gt;0,1/(1 - CUSTOS!$M$29),1)</f>
        <v>1</v>
      </c>
    </row>
    <row r="38" spans="1:42" ht="11.25" customHeight="1" x14ac:dyDescent="0.3">
      <c r="A38" s="91"/>
      <c r="B38" s="91" t="s">
        <v>82</v>
      </c>
      <c r="C38" s="91" t="s">
        <v>40</v>
      </c>
      <c r="D38" s="91" t="s">
        <v>86</v>
      </c>
      <c r="E38" s="91" t="s">
        <v>25</v>
      </c>
      <c r="F38" s="91" t="s">
        <v>25</v>
      </c>
      <c r="G38" s="18" t="s">
        <v>69</v>
      </c>
      <c r="H38" s="18" t="s">
        <v>68</v>
      </c>
      <c r="I38" s="18">
        <f>'MERCADO TUSD'!$U$35</f>
        <v>0</v>
      </c>
      <c r="J38" s="15"/>
      <c r="L38" s="13">
        <f>'TR TUSD'!$L$38*'TR TUSD'!$L$60</f>
        <v>0</v>
      </c>
      <c r="M38" s="13">
        <f>'TR TUSD'!$M$38*'TR TUSD'!$M$60</f>
        <v>0.8640276214125725</v>
      </c>
      <c r="N38" s="13">
        <f ca="1">'TR TUSD'!$N$38*'TR TUSD'!$N$60</f>
        <v>0</v>
      </c>
      <c r="O38" s="13">
        <f>'TR TUSD'!$O$38*'TR TUSD'!$O$60</f>
        <v>0</v>
      </c>
      <c r="P38" s="13">
        <f>'TR TUSD'!$P$38*'TR TUSD'!$P$60</f>
        <v>0</v>
      </c>
      <c r="Q38" s="13">
        <f>'TR TUSD'!$Q$38*'TR TUSD'!$Q$60</f>
        <v>89.978368513069483</v>
      </c>
      <c r="R38" s="13">
        <f>'TR TUSD'!$R$38*'TR TUSD'!$R$60</f>
        <v>14.218765878443092</v>
      </c>
      <c r="S38" s="13">
        <f>'TR TUSD'!$S$38*'TR TUSD'!$S$60</f>
        <v>0</v>
      </c>
      <c r="T38" s="13">
        <f ca="1">SUM($L$38:$S$38)</f>
        <v>105.06116201292515</v>
      </c>
      <c r="U38" s="13">
        <f>'TR TUSD'!$U$38*'TR TUSD'!$U$60</f>
        <v>0</v>
      </c>
      <c r="V38" s="13">
        <f>'TR TUSD'!$V$38*'TR TUSD'!$V$60</f>
        <v>0</v>
      </c>
      <c r="W38" s="13">
        <f>'TR TUSD'!$W$38*'TR TUSD'!$W$60</f>
        <v>0</v>
      </c>
      <c r="X38" s="13">
        <f>'TR TUSD'!$X$38*'TR TUSD'!$X$60</f>
        <v>0</v>
      </c>
      <c r="Y38" s="13">
        <f>'TR TUSD'!$Y$38*'TR TUSD'!$Y$60</f>
        <v>294.09196718023827</v>
      </c>
      <c r="Z38" s="13">
        <f>'TR TUSD'!$Z$38</f>
        <v>0</v>
      </c>
      <c r="AA38" s="13">
        <f>'TR TUSD'!$AA$38</f>
        <v>0</v>
      </c>
      <c r="AB38" s="13">
        <f>SUM($U$38:$AA$38)</f>
        <v>294.09196718023827</v>
      </c>
      <c r="AC38" s="13">
        <f>'TR TUSD'!$AC$38*'TR TUSD'!$AC$60</f>
        <v>572.94801420396732</v>
      </c>
      <c r="AD38" s="13">
        <f>SUM($AC$38:$AC$38)</f>
        <v>572.94801420396732</v>
      </c>
      <c r="AE38" s="13">
        <v>0</v>
      </c>
      <c r="AF38" s="13">
        <v>0</v>
      </c>
      <c r="AG38" s="13">
        <f>SUM($AE$38:$AF$38)</f>
        <v>0</v>
      </c>
      <c r="AH38" s="13">
        <f>'TR TUSD'!$AH$38*'TR TUSD'!$AH$60</f>
        <v>16.918550688263945</v>
      </c>
      <c r="AI38" s="13">
        <f>'TR TUSD'!$AI$38*'TR TUSD'!$AI$60</f>
        <v>0</v>
      </c>
      <c r="AJ38" s="13">
        <f ca="1">'TR TUSD'!$AJ$38*'TR TUSD'!$AJ$60</f>
        <v>0</v>
      </c>
      <c r="AK38" s="13">
        <f ca="1">'TR TUSD'!$AK$38*'TR TUSD'!$AK$60</f>
        <v>0</v>
      </c>
      <c r="AL38" s="13">
        <f ca="1">SUM($AH$38:$AK$38)</f>
        <v>16.918550688263945</v>
      </c>
      <c r="AM38" s="13">
        <f ca="1">SUMIF($L$4:$AL$4,"SUBTOTAL",$L$38:$AL$38)</f>
        <v>989.01969408539469</v>
      </c>
      <c r="AP38" s="13">
        <f>IF((1 - CUSTOS!$M$30)&lt;&gt;0,1/(1 - CUSTOS!$M$30),1)</f>
        <v>1</v>
      </c>
    </row>
    <row r="39" spans="1:42" ht="11.25" customHeight="1" x14ac:dyDescent="0.3">
      <c r="A39" s="91"/>
      <c r="B39" s="91"/>
      <c r="C39" s="91"/>
      <c r="D39" s="91"/>
      <c r="E39" s="91"/>
      <c r="F39" s="91"/>
      <c r="G39" s="18" t="s">
        <v>80</v>
      </c>
      <c r="H39" s="18" t="s">
        <v>68</v>
      </c>
      <c r="I39" s="18">
        <f>'MERCADO TUSD'!$U$36</f>
        <v>0</v>
      </c>
      <c r="J39" s="15"/>
      <c r="L39" s="13">
        <f>'TR TUSD'!$L$39*'TR TUSD'!$L$60</f>
        <v>0</v>
      </c>
      <c r="M39" s="13">
        <f>'TR TUSD'!$M$39*'TR TUSD'!$M$60</f>
        <v>0.8640276214125725</v>
      </c>
      <c r="N39" s="13">
        <f ca="1">'TR TUSD'!$N$39*'TR TUSD'!$N$60</f>
        <v>0</v>
      </c>
      <c r="O39" s="13">
        <f>'TR TUSD'!$O$39*'TR TUSD'!$O$60</f>
        <v>0</v>
      </c>
      <c r="P39" s="13">
        <f>'TR TUSD'!$P$39*'TR TUSD'!$P$60</f>
        <v>0</v>
      </c>
      <c r="Q39" s="13">
        <f>'TR TUSD'!$Q$39*'TR TUSD'!$Q$60</f>
        <v>89.978368513069483</v>
      </c>
      <c r="R39" s="13">
        <f>'TR TUSD'!$R$39*'TR TUSD'!$R$60</f>
        <v>14.218765878443092</v>
      </c>
      <c r="S39" s="13">
        <f>'TR TUSD'!$S$39*'TR TUSD'!$S$60</f>
        <v>0</v>
      </c>
      <c r="T39" s="13">
        <f ca="1">SUM($L$39:$S$39)</f>
        <v>105.06116201292515</v>
      </c>
      <c r="U39" s="13">
        <f>'TR TUSD'!$U$39*'TR TUSD'!$U$60</f>
        <v>0</v>
      </c>
      <c r="V39" s="13">
        <f>'TR TUSD'!$V$39*'TR TUSD'!$V$60</f>
        <v>0</v>
      </c>
      <c r="W39" s="13">
        <f>'TR TUSD'!$W$39*'TR TUSD'!$W$60</f>
        <v>0</v>
      </c>
      <c r="X39" s="13">
        <f>'TR TUSD'!$X$39*'TR TUSD'!$X$60</f>
        <v>0</v>
      </c>
      <c r="Y39" s="13">
        <f>'TR TUSD'!$Y$39*'TR TUSD'!$Y$60</f>
        <v>176.43550294937174</v>
      </c>
      <c r="Z39" s="13">
        <f>'TR TUSD'!$Z$39</f>
        <v>0</v>
      </c>
      <c r="AA39" s="13">
        <f>'TR TUSD'!$AA$39</f>
        <v>0</v>
      </c>
      <c r="AB39" s="13">
        <f>SUM($U$39:$AA$39)</f>
        <v>176.43550294937174</v>
      </c>
      <c r="AC39" s="13">
        <f>'TR TUSD'!$AC$39*'TR TUSD'!$AC$60</f>
        <v>343.76869207489676</v>
      </c>
      <c r="AD39" s="13">
        <f>SUM($AC$39:$AC$39)</f>
        <v>343.76869207489676</v>
      </c>
      <c r="AE39" s="13">
        <v>0</v>
      </c>
      <c r="AF39" s="13">
        <v>0</v>
      </c>
      <c r="AG39" s="13">
        <f>SUM($AE$39:$AF$39)</f>
        <v>0</v>
      </c>
      <c r="AH39" s="13">
        <f>'TR TUSD'!$AH$39*'TR TUSD'!$AH$60</f>
        <v>16.918550688263945</v>
      </c>
      <c r="AI39" s="13">
        <f>'TR TUSD'!$AI$39*'TR TUSD'!$AI$60</f>
        <v>0</v>
      </c>
      <c r="AJ39" s="13">
        <f ca="1">'TR TUSD'!$AJ$39*'TR TUSD'!$AJ$60</f>
        <v>0</v>
      </c>
      <c r="AK39" s="13">
        <f ca="1">'TR TUSD'!$AK$39*'TR TUSD'!$AK$60</f>
        <v>0</v>
      </c>
      <c r="AL39" s="13">
        <f ca="1">SUM($AH$39:$AK$39)</f>
        <v>16.918550688263945</v>
      </c>
      <c r="AM39" s="13">
        <f ca="1">SUMIF($L$4:$AL$4,"SUBTOTAL",$L$39:$AL$39)</f>
        <v>642.18390772545763</v>
      </c>
      <c r="AP39" s="13">
        <f>IF((1 - CUSTOS!$M$30)&lt;&gt;0,1/(1 - CUSTOS!$M$30),1)</f>
        <v>1</v>
      </c>
    </row>
    <row r="40" spans="1:42" ht="11.25" customHeight="1" x14ac:dyDescent="0.3">
      <c r="A40" s="91"/>
      <c r="B40" s="91"/>
      <c r="C40" s="91"/>
      <c r="D40" s="91"/>
      <c r="E40" s="91"/>
      <c r="F40" s="91"/>
      <c r="G40" s="18" t="s">
        <v>70</v>
      </c>
      <c r="H40" s="18" t="s">
        <v>68</v>
      </c>
      <c r="I40" s="18">
        <f>'MERCADO TUSD'!$U$37</f>
        <v>0</v>
      </c>
      <c r="J40" s="15"/>
      <c r="L40" s="13">
        <f>'TR TUSD'!$L$40*'TR TUSD'!$L$60</f>
        <v>0</v>
      </c>
      <c r="M40" s="13">
        <f>'TR TUSD'!$M$40*'TR TUSD'!$M$60</f>
        <v>0.8640276214125725</v>
      </c>
      <c r="N40" s="13">
        <f ca="1">'TR TUSD'!$N$40*'TR TUSD'!$N$60</f>
        <v>0</v>
      </c>
      <c r="O40" s="13">
        <f>'TR TUSD'!$O$40*'TR TUSD'!$O$60</f>
        <v>0</v>
      </c>
      <c r="P40" s="13">
        <f>'TR TUSD'!$P$40*'TR TUSD'!$P$60</f>
        <v>0</v>
      </c>
      <c r="Q40" s="13">
        <f>'TR TUSD'!$Q$40*'TR TUSD'!$Q$60</f>
        <v>89.978368513069483</v>
      </c>
      <c r="R40" s="13">
        <f>'TR TUSD'!$R$40*'TR TUSD'!$R$60</f>
        <v>14.218765878443092</v>
      </c>
      <c r="S40" s="13">
        <f>'TR TUSD'!$S$40*'TR TUSD'!$S$60</f>
        <v>0</v>
      </c>
      <c r="T40" s="13">
        <f ca="1">SUM($L$40:$S$40)</f>
        <v>105.06116201292515</v>
      </c>
      <c r="U40" s="13">
        <f>'TR TUSD'!$U$40*'TR TUSD'!$U$60</f>
        <v>0</v>
      </c>
      <c r="V40" s="13">
        <f>'TR TUSD'!$V$40*'TR TUSD'!$V$60</f>
        <v>0</v>
      </c>
      <c r="W40" s="13">
        <f>'TR TUSD'!$W$40*'TR TUSD'!$W$60</f>
        <v>0</v>
      </c>
      <c r="X40" s="13">
        <f>'TR TUSD'!$X$40*'TR TUSD'!$X$60</f>
        <v>0</v>
      </c>
      <c r="Y40" s="13">
        <f>'TR TUSD'!$Y$40*'TR TUSD'!$Y$60</f>
        <v>58.779038718505191</v>
      </c>
      <c r="Z40" s="13">
        <f>'TR TUSD'!$Z$40</f>
        <v>0</v>
      </c>
      <c r="AA40" s="13">
        <f>'TR TUSD'!$AA$40</f>
        <v>0</v>
      </c>
      <c r="AB40" s="13">
        <f>SUM($U$40:$AA$40)</f>
        <v>58.779038718505191</v>
      </c>
      <c r="AC40" s="13">
        <f>'TR TUSD'!$AC$40*'TR TUSD'!$AC$60</f>
        <v>114.58956402496561</v>
      </c>
      <c r="AD40" s="13">
        <f>SUM($AC$40:$AC$40)</f>
        <v>114.58956402496561</v>
      </c>
      <c r="AE40" s="13">
        <v>0</v>
      </c>
      <c r="AF40" s="13">
        <v>0</v>
      </c>
      <c r="AG40" s="13">
        <f>SUM($AE$40:$AF$40)</f>
        <v>0</v>
      </c>
      <c r="AH40" s="13">
        <f>'TR TUSD'!$AH$40*'TR TUSD'!$AH$60</f>
        <v>16.918550688263945</v>
      </c>
      <c r="AI40" s="13">
        <f>'TR TUSD'!$AI$40*'TR TUSD'!$AI$60</f>
        <v>0</v>
      </c>
      <c r="AJ40" s="13">
        <f ca="1">'TR TUSD'!$AJ$40*'TR TUSD'!$AJ$60</f>
        <v>0</v>
      </c>
      <c r="AK40" s="13">
        <f ca="1">'TR TUSD'!$AK$40*'TR TUSD'!$AK$60</f>
        <v>0</v>
      </c>
      <c r="AL40" s="13">
        <f ca="1">SUM($AH$40:$AK$40)</f>
        <v>16.918550688263945</v>
      </c>
      <c r="AM40" s="13">
        <f ca="1">SUMIF($L$4:$AL$4,"SUBTOTAL",$L$40:$AL$40)</f>
        <v>295.34831544465993</v>
      </c>
      <c r="AP40" s="13">
        <f>IF((1 - CUSTOS!$M$30)&lt;&gt;0,1/(1 - CUSTOS!$M$30),1)</f>
        <v>1</v>
      </c>
    </row>
    <row r="41" spans="1:42" ht="11.25" customHeight="1" x14ac:dyDescent="0.3">
      <c r="A41" s="91"/>
      <c r="B41" s="17" t="s">
        <v>23</v>
      </c>
      <c r="C41" s="17" t="s">
        <v>40</v>
      </c>
      <c r="D41" s="17" t="s">
        <v>86</v>
      </c>
      <c r="E41" s="17" t="s">
        <v>25</v>
      </c>
      <c r="F41" s="17" t="s">
        <v>25</v>
      </c>
      <c r="G41" s="18" t="s">
        <v>74</v>
      </c>
      <c r="H41" s="18" t="s">
        <v>68</v>
      </c>
      <c r="I41" s="18">
        <f>'MERCADO TUSD'!$U$38</f>
        <v>0</v>
      </c>
      <c r="J41" s="15"/>
      <c r="L41" s="13">
        <f>'TR TUSD'!$L$41*'TR TUSD'!$L$60</f>
        <v>0</v>
      </c>
      <c r="M41" s="13">
        <f>'TR TUSD'!$M$41*'TR TUSD'!$M$60</f>
        <v>0.8640276214125725</v>
      </c>
      <c r="N41" s="13">
        <f ca="1">'TR TUSD'!$N$41*'TR TUSD'!$N$60</f>
        <v>0</v>
      </c>
      <c r="O41" s="13">
        <f>'TR TUSD'!$O$41*'TR TUSD'!$O$60</f>
        <v>0</v>
      </c>
      <c r="P41" s="13">
        <f>'TR TUSD'!$P$41*'TR TUSD'!$P$60</f>
        <v>0</v>
      </c>
      <c r="Q41" s="13">
        <f>'TR TUSD'!$Q$41*'TR TUSD'!$Q$60</f>
        <v>89.978368513069483</v>
      </c>
      <c r="R41" s="13">
        <f>'TR TUSD'!$R$41*'TR TUSD'!$R$60</f>
        <v>14.218765878443092</v>
      </c>
      <c r="S41" s="13">
        <f>'TR TUSD'!$S$41*'TR TUSD'!$S$60</f>
        <v>0</v>
      </c>
      <c r="T41" s="13">
        <f ca="1">SUM($L$41:$S$41)</f>
        <v>105.06116201292515</v>
      </c>
      <c r="U41" s="13">
        <f>'TR TUSD'!$U$41*'TR TUSD'!$U$60</f>
        <v>0</v>
      </c>
      <c r="V41" s="13">
        <f>'TR TUSD'!$V$41*'TR TUSD'!$V$60</f>
        <v>0</v>
      </c>
      <c r="W41" s="13">
        <f>'TR TUSD'!$W$41*'TR TUSD'!$W$60</f>
        <v>0</v>
      </c>
      <c r="X41" s="13">
        <f>'TR TUSD'!$X$41*'TR TUSD'!$X$60</f>
        <v>0</v>
      </c>
      <c r="Y41" s="13">
        <f>'TR TUSD'!$Y$41*'TR TUSD'!$Y$60</f>
        <v>99.688087077681246</v>
      </c>
      <c r="Z41" s="13">
        <f>'TR TUSD'!$Z$41</f>
        <v>0</v>
      </c>
      <c r="AA41" s="13">
        <f>'TR TUSD'!$AA$41</f>
        <v>0</v>
      </c>
      <c r="AB41" s="13">
        <f>SUM($U$41:$AA$41)</f>
        <v>99.688087077681246</v>
      </c>
      <c r="AC41" s="13">
        <f>'TR TUSD'!$AC$41*'TR TUSD'!$AC$60</f>
        <v>194.2196526739456</v>
      </c>
      <c r="AD41" s="13">
        <f>SUM($AC$41:$AC$41)</f>
        <v>194.2196526739456</v>
      </c>
      <c r="AE41" s="13">
        <v>0</v>
      </c>
      <c r="AF41" s="13">
        <v>0</v>
      </c>
      <c r="AG41" s="13">
        <f>SUM($AE$41:$AF$41)</f>
        <v>0</v>
      </c>
      <c r="AH41" s="13">
        <f>'TR TUSD'!$AH$41*'TR TUSD'!$AH$60</f>
        <v>16.918550688263945</v>
      </c>
      <c r="AI41" s="13">
        <f>'TR TUSD'!$AI$41*'TR TUSD'!$AI$60</f>
        <v>0</v>
      </c>
      <c r="AJ41" s="13">
        <f ca="1">'TR TUSD'!$AJ$41*'TR TUSD'!$AJ$60</f>
        <v>0</v>
      </c>
      <c r="AK41" s="13">
        <f ca="1">'TR TUSD'!$AK$41*'TR TUSD'!$AK$60</f>
        <v>0</v>
      </c>
      <c r="AL41" s="13">
        <f ca="1">SUM($AH$41:$AK$41)</f>
        <v>16.918550688263945</v>
      </c>
      <c r="AM41" s="13">
        <f ca="1">SUMIF($L$4:$AL$4,"SUBTOTAL",$L$41:$AL$41)</f>
        <v>415.88745245281598</v>
      </c>
      <c r="AP41" s="13">
        <f>IF((1 - CUSTOS!$M$30)&lt;&gt;0,1/(1 - CUSTOS!$M$30),1)</f>
        <v>1</v>
      </c>
    </row>
    <row r="42" spans="1:42" ht="11.25" customHeight="1" x14ac:dyDescent="0.3">
      <c r="A42" s="91"/>
      <c r="B42" s="91" t="s">
        <v>84</v>
      </c>
      <c r="C42" s="91" t="s">
        <v>40</v>
      </c>
      <c r="D42" s="17" t="s">
        <v>25</v>
      </c>
      <c r="E42" s="17" t="s">
        <v>25</v>
      </c>
      <c r="F42" s="17" t="s">
        <v>25</v>
      </c>
      <c r="G42" s="18" t="s">
        <v>74</v>
      </c>
      <c r="H42" s="18" t="s">
        <v>68</v>
      </c>
      <c r="I42" s="18">
        <f>'MERCADO TUSD'!$U$39</f>
        <v>0</v>
      </c>
      <c r="J42" s="15"/>
      <c r="L42" s="13">
        <f>'TR TUSD'!$L$42*'TR TUSD'!$L$60</f>
        <v>0</v>
      </c>
      <c r="M42" s="13">
        <f>'TR TUSD'!$M$42*'TR TUSD'!$M$60</f>
        <v>0.8640276214125725</v>
      </c>
      <c r="N42" s="13">
        <f ca="1">'TR TUSD'!$N$42*'TR TUSD'!$N$60</f>
        <v>0</v>
      </c>
      <c r="O42" s="13">
        <f>'TR TUSD'!$O$42*'TR TUSD'!$O$60</f>
        <v>0</v>
      </c>
      <c r="P42" s="13">
        <f>'TR TUSD'!$P$42*'TR TUSD'!$P$60</f>
        <v>0</v>
      </c>
      <c r="Q42" s="13">
        <f>'TR TUSD'!$Q$42*'TR TUSD'!$Q$60</f>
        <v>89.978368513069483</v>
      </c>
      <c r="R42" s="13">
        <f>'TR TUSD'!$R$42*'TR TUSD'!$R$60</f>
        <v>14.218765878443092</v>
      </c>
      <c r="S42" s="13">
        <f>'TR TUSD'!$S$42*'TR TUSD'!$S$60</f>
        <v>0</v>
      </c>
      <c r="T42" s="13">
        <f ca="1">SUM($L$42:$S$42)</f>
        <v>105.06116201292515</v>
      </c>
      <c r="U42" s="13">
        <f>'TR TUSD'!$U$42*'TR TUSD'!$U$60</f>
        <v>0</v>
      </c>
      <c r="V42" s="13">
        <f>'TR TUSD'!$V$42*'TR TUSD'!$V$60</f>
        <v>0</v>
      </c>
      <c r="W42" s="13">
        <f>'TR TUSD'!$W$42*'TR TUSD'!$W$60</f>
        <v>0</v>
      </c>
      <c r="X42" s="13">
        <f>'TR TUSD'!$X$42*'TR TUSD'!$X$60</f>
        <v>0</v>
      </c>
      <c r="Y42" s="13">
        <f>'TR TUSD'!$Y$42*'TR TUSD'!$Y$60</f>
        <v>99.688087077681246</v>
      </c>
      <c r="Z42" s="13">
        <f>'TR TUSD'!$Z$42</f>
        <v>0</v>
      </c>
      <c r="AA42" s="13">
        <f>'TR TUSD'!$AA$42</f>
        <v>0</v>
      </c>
      <c r="AB42" s="13">
        <f>SUM($U$42:$AA$42)</f>
        <v>99.688087077681246</v>
      </c>
      <c r="AC42" s="13">
        <f>'TR TUSD'!$AC$42*'TR TUSD'!$AC$60</f>
        <v>194.2196526739456</v>
      </c>
      <c r="AD42" s="13">
        <f>SUM($AC$42:$AC$42)</f>
        <v>194.2196526739456</v>
      </c>
      <c r="AE42" s="13">
        <v>0</v>
      </c>
      <c r="AF42" s="13">
        <v>0</v>
      </c>
      <c r="AG42" s="13">
        <f>SUM($AE$42:$AF$42)</f>
        <v>0</v>
      </c>
      <c r="AH42" s="13">
        <f>'TR TUSD'!$AH$42*'TR TUSD'!$AH$60</f>
        <v>16.918550688263945</v>
      </c>
      <c r="AI42" s="13">
        <f>'TR TUSD'!$AI$42*'TR TUSD'!$AI$60</f>
        <v>0</v>
      </c>
      <c r="AJ42" s="13">
        <f ca="1">'TR TUSD'!$AJ$42*'TR TUSD'!$AJ$60</f>
        <v>0</v>
      </c>
      <c r="AK42" s="13">
        <f ca="1">'TR TUSD'!$AK$42*'TR TUSD'!$AK$60</f>
        <v>0</v>
      </c>
      <c r="AL42" s="13">
        <f ca="1">SUM($AH$42:$AK$42)</f>
        <v>16.918550688263945</v>
      </c>
      <c r="AM42" s="13">
        <f ca="1">SUMIF($L$4:$AL$4,"SUBTOTAL",$L$42:$AL$42)</f>
        <v>415.88745245281598</v>
      </c>
      <c r="AP42" s="13">
        <f>IF((1 - CUSTOS!$M$28)&lt;&gt;0,1/(1 - CUSTOS!$M$28),1)</f>
        <v>1</v>
      </c>
    </row>
    <row r="43" spans="1:42" ht="11.25" customHeight="1" x14ac:dyDescent="0.3">
      <c r="A43" s="91"/>
      <c r="B43" s="91"/>
      <c r="C43" s="91"/>
      <c r="D43" s="17" t="s">
        <v>85</v>
      </c>
      <c r="E43" s="17" t="s">
        <v>25</v>
      </c>
      <c r="F43" s="17" t="s">
        <v>25</v>
      </c>
      <c r="G43" s="18" t="s">
        <v>74</v>
      </c>
      <c r="H43" s="18" t="s">
        <v>68</v>
      </c>
      <c r="I43" s="18">
        <f>'MERCADO TUSD'!$U$40</f>
        <v>0</v>
      </c>
      <c r="J43" s="15"/>
      <c r="L43" s="13">
        <f>'TR TUSD'!$L$43*'TR TUSD'!$L$60</f>
        <v>0</v>
      </c>
      <c r="M43" s="13">
        <f>'TR TUSD'!$M$43*'TR TUSD'!$M$60</f>
        <v>0.8640276214125725</v>
      </c>
      <c r="N43" s="13">
        <f ca="1">'TR TUSD'!$N$43*'TR TUSD'!$N$60</f>
        <v>0</v>
      </c>
      <c r="O43" s="13">
        <f>'TR TUSD'!$O$43*'TR TUSD'!$O$60</f>
        <v>0</v>
      </c>
      <c r="P43" s="13">
        <f>'TR TUSD'!$P$43*'TR TUSD'!$P$60</f>
        <v>0</v>
      </c>
      <c r="Q43" s="13">
        <f>'TR TUSD'!$Q$43*'TR TUSD'!$Q$60</f>
        <v>89.978368513069483</v>
      </c>
      <c r="R43" s="13">
        <f>'TR TUSD'!$R$43*'TR TUSD'!$R$60</f>
        <v>14.218765878443092</v>
      </c>
      <c r="S43" s="13">
        <f>'TR TUSD'!$S$43*'TR TUSD'!$S$60</f>
        <v>0</v>
      </c>
      <c r="T43" s="13">
        <f ca="1">SUM($L$43:$S$43)</f>
        <v>105.06116201292515</v>
      </c>
      <c r="U43" s="13">
        <f>'TR TUSD'!$U$43*'TR TUSD'!$U$60</f>
        <v>0</v>
      </c>
      <c r="V43" s="13">
        <f>'TR TUSD'!$V$43*'TR TUSD'!$V$60</f>
        <v>0</v>
      </c>
      <c r="W43" s="13">
        <f>'TR TUSD'!$W$43*'TR TUSD'!$W$60</f>
        <v>0</v>
      </c>
      <c r="X43" s="13">
        <f>'TR TUSD'!$X$43*'TR TUSD'!$X$60</f>
        <v>0</v>
      </c>
      <c r="Y43" s="13">
        <f>'TR TUSD'!$Y$43*'TR TUSD'!$Y$60</f>
        <v>99.688087077681246</v>
      </c>
      <c r="Z43" s="13">
        <f>'TR TUSD'!$Z$43</f>
        <v>0</v>
      </c>
      <c r="AA43" s="13">
        <f>'TR TUSD'!$AA$43</f>
        <v>0</v>
      </c>
      <c r="AB43" s="13">
        <f>SUM($U$43:$AA$43)</f>
        <v>99.688087077681246</v>
      </c>
      <c r="AC43" s="13">
        <f>'TR TUSD'!$AC$43*'TR TUSD'!$AC$60</f>
        <v>194.2196526739456</v>
      </c>
      <c r="AD43" s="13">
        <f>SUM($AC$43:$AC$43)</f>
        <v>194.2196526739456</v>
      </c>
      <c r="AE43" s="13">
        <v>0</v>
      </c>
      <c r="AF43" s="13">
        <v>0</v>
      </c>
      <c r="AG43" s="13">
        <f>SUM($AE$43:$AF$43)</f>
        <v>0</v>
      </c>
      <c r="AH43" s="13">
        <f>'TR TUSD'!$AH$43*'TR TUSD'!$AH$60</f>
        <v>16.918550688263945</v>
      </c>
      <c r="AI43" s="13">
        <f>'TR TUSD'!$AI$43*'TR TUSD'!$AI$60</f>
        <v>0</v>
      </c>
      <c r="AJ43" s="13">
        <f ca="1">'TR TUSD'!$AJ$43*'TR TUSD'!$AJ$60</f>
        <v>0</v>
      </c>
      <c r="AK43" s="13">
        <f ca="1">'TR TUSD'!$AK$43*'TR TUSD'!$AK$60</f>
        <v>0</v>
      </c>
      <c r="AL43" s="13">
        <f ca="1">SUM($AH$43:$AK$43)</f>
        <v>16.918550688263945</v>
      </c>
      <c r="AM43" s="13">
        <f ca="1">SUMIF($L$4:$AL$4,"SUBTOTAL",$L$43:$AL$43)</f>
        <v>415.88745245281598</v>
      </c>
      <c r="AP43" s="13">
        <f>IF((1 - CUSTOS!$M$29)&lt;&gt;0,1/(1 - CUSTOS!$M$29),1)</f>
        <v>1</v>
      </c>
    </row>
    <row r="44" spans="1:42" ht="11.25" customHeight="1" x14ac:dyDescent="0.3">
      <c r="A44" s="91"/>
      <c r="B44" s="91"/>
      <c r="C44" s="91"/>
      <c r="D44" s="17" t="s">
        <v>86</v>
      </c>
      <c r="E44" s="17" t="s">
        <v>25</v>
      </c>
      <c r="F44" s="17" t="s">
        <v>25</v>
      </c>
      <c r="G44" s="18" t="s">
        <v>74</v>
      </c>
      <c r="H44" s="18" t="s">
        <v>68</v>
      </c>
      <c r="I44" s="18">
        <f>'MERCADO TUSD'!$U$41</f>
        <v>0</v>
      </c>
      <c r="J44" s="15"/>
      <c r="L44" s="13">
        <f>'TR TUSD'!$L$44*'TR TUSD'!$L$60</f>
        <v>0</v>
      </c>
      <c r="M44" s="13">
        <f>'TR TUSD'!$M$44*'TR TUSD'!$M$60</f>
        <v>0.8640276214125725</v>
      </c>
      <c r="N44" s="13">
        <f ca="1">'TR TUSD'!$N$44*'TR TUSD'!$N$60</f>
        <v>0</v>
      </c>
      <c r="O44" s="13">
        <f>'TR TUSD'!$O$44*'TR TUSD'!$O$60</f>
        <v>0</v>
      </c>
      <c r="P44" s="13">
        <f>'TR TUSD'!$P$44*'TR TUSD'!$P$60</f>
        <v>0</v>
      </c>
      <c r="Q44" s="13">
        <f>'TR TUSD'!$Q$44*'TR TUSD'!$Q$60</f>
        <v>89.978368513069483</v>
      </c>
      <c r="R44" s="13">
        <f>'TR TUSD'!$R$44*'TR TUSD'!$R$60</f>
        <v>14.218765878443092</v>
      </c>
      <c r="S44" s="13">
        <f>'TR TUSD'!$S$44*'TR TUSD'!$S$60</f>
        <v>0</v>
      </c>
      <c r="T44" s="13">
        <f ca="1">SUM($L$44:$S$44)</f>
        <v>105.06116201292515</v>
      </c>
      <c r="U44" s="13">
        <f>'TR TUSD'!$U$44*'TR TUSD'!$U$60</f>
        <v>0</v>
      </c>
      <c r="V44" s="13">
        <f>'TR TUSD'!$V$44*'TR TUSD'!$V$60</f>
        <v>0</v>
      </c>
      <c r="W44" s="13">
        <f>'TR TUSD'!$W$44*'TR TUSD'!$W$60</f>
        <v>0</v>
      </c>
      <c r="X44" s="13">
        <f>'TR TUSD'!$X$44*'TR TUSD'!$X$60</f>
        <v>0</v>
      </c>
      <c r="Y44" s="13">
        <f>'TR TUSD'!$Y$44*'TR TUSD'!$Y$60</f>
        <v>99.688087077681246</v>
      </c>
      <c r="Z44" s="13">
        <f>'TR TUSD'!$Z$44</f>
        <v>0</v>
      </c>
      <c r="AA44" s="13">
        <f>'TR TUSD'!$AA$44</f>
        <v>0</v>
      </c>
      <c r="AB44" s="13">
        <f>SUM($U$44:$AA$44)</f>
        <v>99.688087077681246</v>
      </c>
      <c r="AC44" s="13">
        <f>'TR TUSD'!$AC$44*'TR TUSD'!$AC$60</f>
        <v>194.2196526739456</v>
      </c>
      <c r="AD44" s="13">
        <f>SUM($AC$44:$AC$44)</f>
        <v>194.2196526739456</v>
      </c>
      <c r="AE44" s="13">
        <v>0</v>
      </c>
      <c r="AF44" s="13">
        <v>0</v>
      </c>
      <c r="AG44" s="13">
        <f>SUM($AE$44:$AF$44)</f>
        <v>0</v>
      </c>
      <c r="AH44" s="13">
        <f>'TR TUSD'!$AH$44*'TR TUSD'!$AH$60</f>
        <v>16.918550688263945</v>
      </c>
      <c r="AI44" s="13">
        <f>'TR TUSD'!$AI$44*'TR TUSD'!$AI$60</f>
        <v>0</v>
      </c>
      <c r="AJ44" s="13">
        <f ca="1">'TR TUSD'!$AJ$44*'TR TUSD'!$AJ$60</f>
        <v>0</v>
      </c>
      <c r="AK44" s="13">
        <f ca="1">'TR TUSD'!$AK$44*'TR TUSD'!$AK$60</f>
        <v>0</v>
      </c>
      <c r="AL44" s="13">
        <f ca="1">SUM($AH$44:$AK$44)</f>
        <v>16.918550688263945</v>
      </c>
      <c r="AM44" s="13">
        <f ca="1">SUMIF($L$4:$AL$4,"SUBTOTAL",$L$44:$AL$44)</f>
        <v>415.88745245281598</v>
      </c>
      <c r="AP44" s="13">
        <f>IF((1 - CUSTOS!$M$30)&lt;&gt;0,1/(1 - CUSTOS!$M$30),1)</f>
        <v>1</v>
      </c>
    </row>
    <row r="45" spans="1:42" ht="11.25" customHeight="1" x14ac:dyDescent="0.3">
      <c r="A45" s="91" t="s">
        <v>31</v>
      </c>
      <c r="B45" s="91" t="s">
        <v>82</v>
      </c>
      <c r="C45" s="91" t="s">
        <v>25</v>
      </c>
      <c r="D45" s="91" t="s">
        <v>25</v>
      </c>
      <c r="E45" s="91" t="s">
        <v>25</v>
      </c>
      <c r="F45" s="91" t="s">
        <v>25</v>
      </c>
      <c r="G45" s="18" t="s">
        <v>69</v>
      </c>
      <c r="H45" s="18" t="s">
        <v>68</v>
      </c>
      <c r="I45" s="18">
        <f>'MERCADO TUSD'!$U$42</f>
        <v>0</v>
      </c>
      <c r="J45" s="15"/>
      <c r="L45" s="13">
        <f>'TR TUSD'!$L$45*'TR TUSD'!$L$60</f>
        <v>0</v>
      </c>
      <c r="M45" s="13">
        <f>'TR TUSD'!$M$45*'TR TUSD'!$M$60</f>
        <v>0.8640276214125725</v>
      </c>
      <c r="N45" s="13">
        <f ca="1">'TR TUSD'!$N$45*'TR TUSD'!$N$60</f>
        <v>0</v>
      </c>
      <c r="O45" s="13">
        <f>'TR TUSD'!$O$45*'TR TUSD'!$O$60</f>
        <v>0</v>
      </c>
      <c r="P45" s="13">
        <f>'TR TUSD'!$P$45*'TR TUSD'!$P$60</f>
        <v>0</v>
      </c>
      <c r="Q45" s="13">
        <f>'TR TUSD'!$Q$45*'TR TUSD'!$Q$60</f>
        <v>89.978368513069483</v>
      </c>
      <c r="R45" s="13">
        <f>'TR TUSD'!$R$45*'TR TUSD'!$R$60</f>
        <v>14.218765878443092</v>
      </c>
      <c r="S45" s="13">
        <f>'TR TUSD'!$S$45*'TR TUSD'!$S$60</f>
        <v>0</v>
      </c>
      <c r="T45" s="13">
        <f ca="1">SUM($L$45:$S$45)</f>
        <v>105.06116201292515</v>
      </c>
      <c r="U45" s="13">
        <f>'TR TUSD'!$U$45*'TR TUSD'!$U$60</f>
        <v>0</v>
      </c>
      <c r="V45" s="13">
        <f>'TR TUSD'!$V$45*'TR TUSD'!$V$60</f>
        <v>0</v>
      </c>
      <c r="W45" s="13">
        <f>'TR TUSD'!$W$45*'TR TUSD'!$W$60</f>
        <v>0</v>
      </c>
      <c r="X45" s="13">
        <f>'TR TUSD'!$X$45*'TR TUSD'!$X$60</f>
        <v>0</v>
      </c>
      <c r="Y45" s="13">
        <f>'TR TUSD'!$Y$45*'TR TUSD'!$Y$60</f>
        <v>344.00987603373244</v>
      </c>
      <c r="Z45" s="13">
        <f>'TR TUSD'!$Z$45</f>
        <v>0</v>
      </c>
      <c r="AA45" s="13">
        <f>'TR TUSD'!$AA$45</f>
        <v>0</v>
      </c>
      <c r="AB45" s="13">
        <f>SUM($U$45:$AA$45)</f>
        <v>344.00987603373244</v>
      </c>
      <c r="AC45" s="13">
        <f>'TR TUSD'!$AC$45*'TR TUSD'!$AC$60</f>
        <v>670.0576464618008</v>
      </c>
      <c r="AD45" s="13">
        <f>SUM($AC$45:$AC$45)</f>
        <v>670.0576464618008</v>
      </c>
      <c r="AE45" s="13">
        <v>0</v>
      </c>
      <c r="AF45" s="13">
        <v>0</v>
      </c>
      <c r="AG45" s="13">
        <f>SUM($AE$45:$AF$45)</f>
        <v>0</v>
      </c>
      <c r="AH45" s="13">
        <f>'TR TUSD'!$AH$45*'TR TUSD'!$AH$60</f>
        <v>16.918550688263945</v>
      </c>
      <c r="AI45" s="13">
        <f>'TR TUSD'!$AI$45*'TR TUSD'!$AI$60</f>
        <v>0</v>
      </c>
      <c r="AJ45" s="13">
        <f ca="1">'TR TUSD'!$AJ$45*'TR TUSD'!$AJ$60</f>
        <v>0</v>
      </c>
      <c r="AK45" s="13">
        <f ca="1">'TR TUSD'!$AK$45*'TR TUSD'!$AK$60</f>
        <v>0</v>
      </c>
      <c r="AL45" s="13">
        <f ca="1">SUM($AH$45:$AK$45)</f>
        <v>16.918550688263945</v>
      </c>
      <c r="AM45" s="13">
        <f ca="1">SUMIF($L$4:$AL$4,"SUBTOTAL",$L$45:$AL$45)</f>
        <v>1136.0472351967221</v>
      </c>
      <c r="AP45" s="13">
        <f>IF((1 - CUSTOS!$M$31)&lt;&gt;0,1/(1 - CUSTOS!$M$31),1)</f>
        <v>1</v>
      </c>
    </row>
    <row r="46" spans="1:42" ht="11.25" customHeight="1" x14ac:dyDescent="0.3">
      <c r="A46" s="91"/>
      <c r="B46" s="91"/>
      <c r="C46" s="91"/>
      <c r="D46" s="91"/>
      <c r="E46" s="91"/>
      <c r="F46" s="91"/>
      <c r="G46" s="18" t="s">
        <v>80</v>
      </c>
      <c r="H46" s="18" t="s">
        <v>68</v>
      </c>
      <c r="I46" s="18">
        <f>'MERCADO TUSD'!$U$43</f>
        <v>0</v>
      </c>
      <c r="J46" s="15"/>
      <c r="L46" s="13">
        <f>'TR TUSD'!$L$46*'TR TUSD'!$L$60</f>
        <v>0</v>
      </c>
      <c r="M46" s="13">
        <f>'TR TUSD'!$M$46*'TR TUSD'!$M$60</f>
        <v>0.8640276214125725</v>
      </c>
      <c r="N46" s="13">
        <f ca="1">'TR TUSD'!$N$46*'TR TUSD'!$N$60</f>
        <v>0</v>
      </c>
      <c r="O46" s="13">
        <f>'TR TUSD'!$O$46*'TR TUSD'!$O$60</f>
        <v>0</v>
      </c>
      <c r="P46" s="13">
        <f>'TR TUSD'!$P$46*'TR TUSD'!$P$60</f>
        <v>0</v>
      </c>
      <c r="Q46" s="13">
        <f>'TR TUSD'!$Q$46*'TR TUSD'!$Q$60</f>
        <v>89.978368513069483</v>
      </c>
      <c r="R46" s="13">
        <f>'TR TUSD'!$R$46*'TR TUSD'!$R$60</f>
        <v>14.218765878443092</v>
      </c>
      <c r="S46" s="13">
        <f>'TR TUSD'!$S$46*'TR TUSD'!$S$60</f>
        <v>0</v>
      </c>
      <c r="T46" s="13">
        <f ca="1">SUM($L$46:$S$46)</f>
        <v>105.06116201292515</v>
      </c>
      <c r="U46" s="13">
        <f>'TR TUSD'!$U$46*'TR TUSD'!$U$60</f>
        <v>0</v>
      </c>
      <c r="V46" s="13">
        <f>'TR TUSD'!$V$46*'TR TUSD'!$V$60</f>
        <v>0</v>
      </c>
      <c r="W46" s="13">
        <f>'TR TUSD'!$W$46*'TR TUSD'!$W$60</f>
        <v>0</v>
      </c>
      <c r="X46" s="13">
        <f>'TR TUSD'!$X$46*'TR TUSD'!$X$60</f>
        <v>0</v>
      </c>
      <c r="Y46" s="13">
        <f>'TR TUSD'!$Y$46*'TR TUSD'!$Y$60</f>
        <v>206.36655084422728</v>
      </c>
      <c r="Z46" s="13">
        <f>'TR TUSD'!$Z$46</f>
        <v>0</v>
      </c>
      <c r="AA46" s="13">
        <f>'TR TUSD'!$AA$46</f>
        <v>0</v>
      </c>
      <c r="AB46" s="13">
        <f>SUM($U$46:$AA$46)</f>
        <v>206.36655084422728</v>
      </c>
      <c r="AC46" s="13">
        <f>'TR TUSD'!$AC$46*'TR TUSD'!$AC$60</f>
        <v>402.03454906125262</v>
      </c>
      <c r="AD46" s="13">
        <f>SUM($AC$46:$AC$46)</f>
        <v>402.03454906125262</v>
      </c>
      <c r="AE46" s="13">
        <v>0</v>
      </c>
      <c r="AF46" s="13">
        <v>0</v>
      </c>
      <c r="AG46" s="13">
        <f>SUM($AE$46:$AF$46)</f>
        <v>0</v>
      </c>
      <c r="AH46" s="13">
        <f>'TR TUSD'!$AH$46*'TR TUSD'!$AH$60</f>
        <v>16.918550688263945</v>
      </c>
      <c r="AI46" s="13">
        <f>'TR TUSD'!$AI$46*'TR TUSD'!$AI$60</f>
        <v>0</v>
      </c>
      <c r="AJ46" s="13">
        <f ca="1">'TR TUSD'!$AJ$46*'TR TUSD'!$AJ$60</f>
        <v>0</v>
      </c>
      <c r="AK46" s="13">
        <f ca="1">'TR TUSD'!$AK$46*'TR TUSD'!$AK$60</f>
        <v>0</v>
      </c>
      <c r="AL46" s="13">
        <f ca="1">SUM($AH$46:$AK$46)</f>
        <v>16.918550688263945</v>
      </c>
      <c r="AM46" s="13">
        <f ca="1">SUMIF($L$4:$AL$4,"SUBTOTAL",$L$46:$AL$46)</f>
        <v>730.380812606669</v>
      </c>
      <c r="AP46" s="13">
        <f>IF((1 - CUSTOS!$M$31)&lt;&gt;0,1/(1 - CUSTOS!$M$31),1)</f>
        <v>1</v>
      </c>
    </row>
    <row r="47" spans="1:42" ht="11.25" customHeight="1" x14ac:dyDescent="0.3">
      <c r="A47" s="91"/>
      <c r="B47" s="91"/>
      <c r="C47" s="91"/>
      <c r="D47" s="91"/>
      <c r="E47" s="91"/>
      <c r="F47" s="91"/>
      <c r="G47" s="18" t="s">
        <v>70</v>
      </c>
      <c r="H47" s="18" t="s">
        <v>68</v>
      </c>
      <c r="I47" s="18">
        <f>'MERCADO TUSD'!$U$44</f>
        <v>0</v>
      </c>
      <c r="J47" s="15"/>
      <c r="L47" s="13">
        <f>'TR TUSD'!$L$47*'TR TUSD'!$L$60</f>
        <v>0</v>
      </c>
      <c r="M47" s="13">
        <f>'TR TUSD'!$M$47*'TR TUSD'!$M$60</f>
        <v>0.8640276214125725</v>
      </c>
      <c r="N47" s="13">
        <f ca="1">'TR TUSD'!$N$47*'TR TUSD'!$N$60</f>
        <v>0</v>
      </c>
      <c r="O47" s="13">
        <f>'TR TUSD'!$O$47*'TR TUSD'!$O$60</f>
        <v>0</v>
      </c>
      <c r="P47" s="13">
        <f>'TR TUSD'!$P$47*'TR TUSD'!$P$60</f>
        <v>0</v>
      </c>
      <c r="Q47" s="13">
        <f>'TR TUSD'!$Q$47*'TR TUSD'!$Q$60</f>
        <v>89.978368513069483</v>
      </c>
      <c r="R47" s="13">
        <f>'TR TUSD'!$R$47*'TR TUSD'!$R$60</f>
        <v>14.218765878443092</v>
      </c>
      <c r="S47" s="13">
        <f>'TR TUSD'!$S$47*'TR TUSD'!$S$60</f>
        <v>0</v>
      </c>
      <c r="T47" s="13">
        <f ca="1">SUM($L$47:$S$47)</f>
        <v>105.06116201292515</v>
      </c>
      <c r="U47" s="13">
        <f>'TR TUSD'!$U$47*'TR TUSD'!$U$60</f>
        <v>0</v>
      </c>
      <c r="V47" s="13">
        <f>'TR TUSD'!$V$47*'TR TUSD'!$V$60</f>
        <v>0</v>
      </c>
      <c r="W47" s="13">
        <f>'TR TUSD'!$W$47*'TR TUSD'!$W$60</f>
        <v>0</v>
      </c>
      <c r="X47" s="13">
        <f>'TR TUSD'!$X$47*'TR TUSD'!$X$60</f>
        <v>0</v>
      </c>
      <c r="Y47" s="13">
        <f>'TR TUSD'!$Y$47*'TR TUSD'!$Y$60</f>
        <v>68.772368905476</v>
      </c>
      <c r="Z47" s="13">
        <f>'TR TUSD'!$Z$47</f>
        <v>0</v>
      </c>
      <c r="AA47" s="13">
        <f>'TR TUSD'!$AA$47</f>
        <v>0</v>
      </c>
      <c r="AB47" s="13">
        <f>SUM($U$47:$AA$47)</f>
        <v>68.772368905476</v>
      </c>
      <c r="AC47" s="13">
        <f>'TR TUSD'!$AC$47*'TR TUSD'!$AC$60</f>
        <v>134.01164573984377</v>
      </c>
      <c r="AD47" s="13">
        <f>SUM($AC$47:$AC$47)</f>
        <v>134.01164573984377</v>
      </c>
      <c r="AE47" s="13">
        <v>0</v>
      </c>
      <c r="AF47" s="13">
        <v>0</v>
      </c>
      <c r="AG47" s="13">
        <f>SUM($AE$47:$AF$47)</f>
        <v>0</v>
      </c>
      <c r="AH47" s="13">
        <f>'TR TUSD'!$AH$47*'TR TUSD'!$AH$60</f>
        <v>16.918550688263945</v>
      </c>
      <c r="AI47" s="13">
        <f>'TR TUSD'!$AI$47*'TR TUSD'!$AI$60</f>
        <v>0</v>
      </c>
      <c r="AJ47" s="13">
        <f ca="1">'TR TUSD'!$AJ$47*'TR TUSD'!$AJ$60</f>
        <v>0</v>
      </c>
      <c r="AK47" s="13">
        <f ca="1">'TR TUSD'!$AK$47*'TR TUSD'!$AK$60</f>
        <v>0</v>
      </c>
      <c r="AL47" s="13">
        <f ca="1">SUM($AH$47:$AK$47)</f>
        <v>16.918550688263945</v>
      </c>
      <c r="AM47" s="13">
        <f ca="1">SUMIF($L$4:$AL$4,"SUBTOTAL",$L$47:$AL$47)</f>
        <v>324.76372734650886</v>
      </c>
      <c r="AP47" s="13">
        <f>IF((1 - CUSTOS!$M$31)&lt;&gt;0,1/(1 - CUSTOS!$M$31),1)</f>
        <v>1</v>
      </c>
    </row>
    <row r="48" spans="1:42" ht="11.25" customHeight="1" x14ac:dyDescent="0.3">
      <c r="A48" s="91"/>
      <c r="B48" s="17" t="s">
        <v>23</v>
      </c>
      <c r="C48" s="17" t="s">
        <v>25</v>
      </c>
      <c r="D48" s="17" t="s">
        <v>25</v>
      </c>
      <c r="E48" s="17" t="s">
        <v>25</v>
      </c>
      <c r="F48" s="17" t="s">
        <v>25</v>
      </c>
      <c r="G48" s="18" t="s">
        <v>74</v>
      </c>
      <c r="H48" s="18" t="s">
        <v>68</v>
      </c>
      <c r="I48" s="18">
        <f>'MERCADO TUSD'!$U$45</f>
        <v>321.71000000000004</v>
      </c>
      <c r="J48" s="15"/>
      <c r="L48" s="13">
        <f>'TR TUSD'!$L$48*'TR TUSD'!$L$60</f>
        <v>0</v>
      </c>
      <c r="M48" s="13">
        <f>'TR TUSD'!$M$48*'TR TUSD'!$M$60</f>
        <v>0.8640276214125725</v>
      </c>
      <c r="N48" s="13">
        <f ca="1">'TR TUSD'!$N$48*'TR TUSD'!$N$60</f>
        <v>0</v>
      </c>
      <c r="O48" s="13">
        <f>'TR TUSD'!$O$48*'TR TUSD'!$O$60</f>
        <v>0</v>
      </c>
      <c r="P48" s="13">
        <f>'TR TUSD'!$P$48*'TR TUSD'!$P$60</f>
        <v>0</v>
      </c>
      <c r="Q48" s="13">
        <f>'TR TUSD'!$Q$48*'TR TUSD'!$Q$60</f>
        <v>89.978368513069483</v>
      </c>
      <c r="R48" s="13">
        <f>'TR TUSD'!$R$48*'TR TUSD'!$R$60</f>
        <v>14.218765878443092</v>
      </c>
      <c r="S48" s="13">
        <f>'TR TUSD'!$S$48*'TR TUSD'!$S$60</f>
        <v>0</v>
      </c>
      <c r="T48" s="13">
        <f ca="1">SUM($L$48:$S$48)</f>
        <v>105.06116201292515</v>
      </c>
      <c r="U48" s="13">
        <f>'TR TUSD'!$U$48*'TR TUSD'!$U$60</f>
        <v>0</v>
      </c>
      <c r="V48" s="13">
        <f>'TR TUSD'!$V$48*'TR TUSD'!$V$60</f>
        <v>0</v>
      </c>
      <c r="W48" s="13">
        <f>'TR TUSD'!$W$48*'TR TUSD'!$W$60</f>
        <v>0</v>
      </c>
      <c r="X48" s="13">
        <f>'TR TUSD'!$X$48*'TR TUSD'!$X$60</f>
        <v>0</v>
      </c>
      <c r="Y48" s="13">
        <f>'TR TUSD'!$Y$48*'TR TUSD'!$Y$60</f>
        <v>99.688087077681246</v>
      </c>
      <c r="Z48" s="13">
        <f>'TR TUSD'!$Z$48</f>
        <v>0</v>
      </c>
      <c r="AA48" s="13">
        <f>'TR TUSD'!$AA$48</f>
        <v>0</v>
      </c>
      <c r="AB48" s="13">
        <f>SUM($U$48:$AA$48)</f>
        <v>99.688087077681246</v>
      </c>
      <c r="AC48" s="13">
        <f>'TR TUSD'!$AC$48*'TR TUSD'!$AC$60</f>
        <v>194.2196526739456</v>
      </c>
      <c r="AD48" s="13">
        <f>SUM($AC$48:$AC$48)</f>
        <v>194.2196526739456</v>
      </c>
      <c r="AE48" s="13">
        <v>0</v>
      </c>
      <c r="AF48" s="13">
        <v>0</v>
      </c>
      <c r="AG48" s="13">
        <f>SUM($AE$48:$AF$48)</f>
        <v>0</v>
      </c>
      <c r="AH48" s="13">
        <f>'TR TUSD'!$AH$48*'TR TUSD'!$AH$60</f>
        <v>16.918550688263945</v>
      </c>
      <c r="AI48" s="13">
        <f>'TR TUSD'!$AI$48*'TR TUSD'!$AI$60</f>
        <v>0</v>
      </c>
      <c r="AJ48" s="13">
        <f ca="1">'TR TUSD'!$AJ$48*'TR TUSD'!$AJ$60</f>
        <v>0</v>
      </c>
      <c r="AK48" s="13">
        <f ca="1">'TR TUSD'!$AK$48*'TR TUSD'!$AK$60</f>
        <v>0</v>
      </c>
      <c r="AL48" s="13">
        <f ca="1">SUM($AH$48:$AK$48)</f>
        <v>16.918550688263945</v>
      </c>
      <c r="AM48" s="13">
        <f ca="1">SUMIF($L$4:$AL$4,"SUBTOTAL",$L$48:$AL$48)</f>
        <v>415.88745245281598</v>
      </c>
      <c r="AP48" s="13">
        <f>IF((1 - CUSTOS!$M$31)&lt;&gt;0,1/(1 - CUSTOS!$M$31),1)</f>
        <v>1</v>
      </c>
    </row>
    <row r="49" spans="1:42" ht="11.25" customHeight="1" x14ac:dyDescent="0.3">
      <c r="A49" s="91"/>
      <c r="B49" s="17" t="s">
        <v>84</v>
      </c>
      <c r="C49" s="17" t="s">
        <v>25</v>
      </c>
      <c r="D49" s="17" t="s">
        <v>25</v>
      </c>
      <c r="E49" s="17" t="s">
        <v>25</v>
      </c>
      <c r="F49" s="17" t="s">
        <v>25</v>
      </c>
      <c r="G49" s="18" t="s">
        <v>74</v>
      </c>
      <c r="H49" s="18" t="s">
        <v>68</v>
      </c>
      <c r="I49" s="18">
        <f>'MERCADO TUSD'!$U$46</f>
        <v>0</v>
      </c>
      <c r="J49" s="15"/>
      <c r="L49" s="13">
        <f>'TR TUSD'!$L$49*'TR TUSD'!$L$60</f>
        <v>0</v>
      </c>
      <c r="M49" s="13">
        <f>'TR TUSD'!$M$49*'TR TUSD'!$M$60</f>
        <v>0.8640276214125725</v>
      </c>
      <c r="N49" s="13">
        <f ca="1">'TR TUSD'!$N$49*'TR TUSD'!$N$60</f>
        <v>0</v>
      </c>
      <c r="O49" s="13">
        <f>'TR TUSD'!$O$49*'TR TUSD'!$O$60</f>
        <v>0</v>
      </c>
      <c r="P49" s="13">
        <f>'TR TUSD'!$P$49*'TR TUSD'!$P$60</f>
        <v>0</v>
      </c>
      <c r="Q49" s="13">
        <f>'TR TUSD'!$Q$49*'TR TUSD'!$Q$60</f>
        <v>89.978368513069483</v>
      </c>
      <c r="R49" s="13">
        <f>'TR TUSD'!$R$49*'TR TUSD'!$R$60</f>
        <v>14.218765878443092</v>
      </c>
      <c r="S49" s="13">
        <f>'TR TUSD'!$S$49*'TR TUSD'!$S$60</f>
        <v>0</v>
      </c>
      <c r="T49" s="13">
        <f ca="1">SUM($L$49:$S$49)</f>
        <v>105.06116201292515</v>
      </c>
      <c r="U49" s="13">
        <f>'TR TUSD'!$U$49*'TR TUSD'!$U$60</f>
        <v>0</v>
      </c>
      <c r="V49" s="13">
        <f>'TR TUSD'!$V$49*'TR TUSD'!$V$60</f>
        <v>0</v>
      </c>
      <c r="W49" s="13">
        <f>'TR TUSD'!$W$49*'TR TUSD'!$W$60</f>
        <v>0</v>
      </c>
      <c r="X49" s="13">
        <f>'TR TUSD'!$X$49*'TR TUSD'!$X$60</f>
        <v>0</v>
      </c>
      <c r="Y49" s="13">
        <f>'TR TUSD'!$Y$49*'TR TUSD'!$Y$60</f>
        <v>99.688087077681246</v>
      </c>
      <c r="Z49" s="13">
        <f>'TR TUSD'!$Z$49</f>
        <v>0</v>
      </c>
      <c r="AA49" s="13">
        <f>'TR TUSD'!$AA$49</f>
        <v>0</v>
      </c>
      <c r="AB49" s="13">
        <f>SUM($U$49:$AA$49)</f>
        <v>99.688087077681246</v>
      </c>
      <c r="AC49" s="13">
        <f>'TR TUSD'!$AC$49*'TR TUSD'!$AC$60</f>
        <v>194.2196526739456</v>
      </c>
      <c r="AD49" s="13">
        <f>SUM($AC$49:$AC$49)</f>
        <v>194.2196526739456</v>
      </c>
      <c r="AE49" s="13">
        <v>0</v>
      </c>
      <c r="AF49" s="13">
        <v>0</v>
      </c>
      <c r="AG49" s="13">
        <f>SUM($AE$49:$AF$49)</f>
        <v>0</v>
      </c>
      <c r="AH49" s="13">
        <f>'TR TUSD'!$AH$49*'TR TUSD'!$AH$60</f>
        <v>16.918550688263945</v>
      </c>
      <c r="AI49" s="13">
        <f>'TR TUSD'!$AI$49*'TR TUSD'!$AI$60</f>
        <v>0</v>
      </c>
      <c r="AJ49" s="13">
        <f ca="1">'TR TUSD'!$AJ$49*'TR TUSD'!$AJ$60</f>
        <v>0</v>
      </c>
      <c r="AK49" s="13">
        <f ca="1">'TR TUSD'!$AK$49*'TR TUSD'!$AK$60</f>
        <v>0</v>
      </c>
      <c r="AL49" s="13">
        <f ca="1">SUM($AH$49:$AK$49)</f>
        <v>16.918550688263945</v>
      </c>
      <c r="AM49" s="13">
        <f ca="1">SUMIF($L$4:$AL$4,"SUBTOTAL",$L$49:$AL$49)</f>
        <v>415.88745245281598</v>
      </c>
      <c r="AP49" s="13">
        <f>IF((1 - CUSTOS!$M$31)&lt;&gt;0,1/(1 - CUSTOS!$M$31),1)</f>
        <v>1</v>
      </c>
    </row>
    <row r="50" spans="1:42" ht="11.25" customHeight="1" x14ac:dyDescent="0.3">
      <c r="A50" s="91" t="s">
        <v>43</v>
      </c>
      <c r="B50" s="91" t="s">
        <v>23</v>
      </c>
      <c r="C50" s="91" t="s">
        <v>44</v>
      </c>
      <c r="D50" s="17" t="s">
        <v>45</v>
      </c>
      <c r="E50" s="17" t="s">
        <v>25</v>
      </c>
      <c r="F50" s="17" t="s">
        <v>25</v>
      </c>
      <c r="G50" s="18" t="s">
        <v>74</v>
      </c>
      <c r="H50" s="18" t="s">
        <v>68</v>
      </c>
      <c r="I50" s="18">
        <f>'MERCADO TUSD'!$U$47</f>
        <v>249.66400000000002</v>
      </c>
      <c r="J50" s="15"/>
      <c r="L50" s="13">
        <f>'TR TUSD'!$L$50*'TR TUSD'!$L$60</f>
        <v>0</v>
      </c>
      <c r="M50" s="13">
        <f>'TR TUSD'!$M$50*'TR TUSD'!$M$60</f>
        <v>0.4752151917769149</v>
      </c>
      <c r="N50" s="13">
        <f ca="1">'TR TUSD'!$N$50*'TR TUSD'!$N$60</f>
        <v>0</v>
      </c>
      <c r="O50" s="13">
        <f>'TR TUSD'!$O$50*'TR TUSD'!$O$60</f>
        <v>0</v>
      </c>
      <c r="P50" s="13">
        <f>'TR TUSD'!$P$50*'TR TUSD'!$P$60</f>
        <v>0</v>
      </c>
      <c r="Q50" s="13">
        <f>'TR TUSD'!$Q$50*'TR TUSD'!$Q$60</f>
        <v>49.48810268218822</v>
      </c>
      <c r="R50" s="13">
        <f>'TR TUSD'!$R$50*'TR TUSD'!$R$60</f>
        <v>7.8203212331437015</v>
      </c>
      <c r="S50" s="13">
        <f>'TR TUSD'!$S$50*'TR TUSD'!$S$60</f>
        <v>0</v>
      </c>
      <c r="T50" s="13">
        <f ca="1">SUM($L$50:$S$50)</f>
        <v>57.78363910710884</v>
      </c>
      <c r="U50" s="13">
        <f>'TR TUSD'!$U$50*'TR TUSD'!$U$60</f>
        <v>0</v>
      </c>
      <c r="V50" s="13">
        <f>'TR TUSD'!$V$50*'TR TUSD'!$V$60</f>
        <v>0</v>
      </c>
      <c r="W50" s="13">
        <f>'TR TUSD'!$W$50*'TR TUSD'!$W$60</f>
        <v>0</v>
      </c>
      <c r="X50" s="13">
        <f>'TR TUSD'!$X$50*'TR TUSD'!$X$60</f>
        <v>0</v>
      </c>
      <c r="Y50" s="13">
        <f>'TR TUSD'!$Y$50*'TR TUSD'!$Y$60</f>
        <v>54.828447892724682</v>
      </c>
      <c r="Z50" s="13">
        <f>'TR TUSD'!$Z$50</f>
        <v>0</v>
      </c>
      <c r="AA50" s="13">
        <f>'TR TUSD'!$AA$50</f>
        <v>0</v>
      </c>
      <c r="AB50" s="13">
        <f>SUM($U$50:$AA$50)</f>
        <v>54.828447892724682</v>
      </c>
      <c r="AC50" s="13">
        <f>'TR TUSD'!$AC$50*'TR TUSD'!$AC$60</f>
        <v>106.82080897067009</v>
      </c>
      <c r="AD50" s="13">
        <f>SUM($AC$50:$AC$50)</f>
        <v>106.82080897067009</v>
      </c>
      <c r="AE50" s="13">
        <v>0</v>
      </c>
      <c r="AF50" s="13">
        <v>0</v>
      </c>
      <c r="AG50" s="13">
        <f>SUM($AE$50:$AF$50)</f>
        <v>0</v>
      </c>
      <c r="AH50" s="13">
        <f>'TR TUSD'!$AH$50*'TR TUSD'!$AH$60</f>
        <v>9.3052028785451704</v>
      </c>
      <c r="AI50" s="13">
        <f>'TR TUSD'!$AI$50*'TR TUSD'!$AI$60</f>
        <v>0</v>
      </c>
      <c r="AJ50" s="13">
        <f ca="1">'TR TUSD'!$AJ$50*'TR TUSD'!$AJ$60</f>
        <v>0</v>
      </c>
      <c r="AK50" s="13">
        <f ca="1">'TR TUSD'!$AK$50*'TR TUSD'!$AK$60</f>
        <v>0</v>
      </c>
      <c r="AL50" s="13">
        <f ca="1">SUM($AH$50:$AK$50)</f>
        <v>9.3052028785451704</v>
      </c>
      <c r="AM50" s="13">
        <f ca="1">SUMIF($L$4:$AL$4,"SUBTOTAL",$L$50:$AL$50)</f>
        <v>228.73809884904878</v>
      </c>
      <c r="AP50" s="13">
        <f>IF((1 - CUSTOS!$M$32)&lt;&gt;0,1/(1 - CUSTOS!$M$32),1)</f>
        <v>1.8181818181818181</v>
      </c>
    </row>
    <row r="51" spans="1:42" ht="11.25" customHeight="1" x14ac:dyDescent="0.3">
      <c r="A51" s="91"/>
      <c r="B51" s="91"/>
      <c r="C51" s="91"/>
      <c r="D51" s="18" t="s">
        <v>87</v>
      </c>
      <c r="E51" s="18" t="s">
        <v>25</v>
      </c>
      <c r="F51" s="18" t="s">
        <v>25</v>
      </c>
      <c r="G51" s="18" t="s">
        <v>74</v>
      </c>
      <c r="H51" s="18" t="s">
        <v>68</v>
      </c>
      <c r="I51" s="18">
        <f>'MERCADO TUSD'!$U$48</f>
        <v>0</v>
      </c>
      <c r="J51" s="15"/>
      <c r="L51" s="13">
        <f>'TR TUSD'!$L$51*'TR TUSD'!$L$60</f>
        <v>0</v>
      </c>
      <c r="M51" s="13">
        <f>'TR TUSD'!$M$51*'TR TUSD'!$M$60</f>
        <v>0.5184165728475435</v>
      </c>
      <c r="N51" s="13">
        <f ca="1">'TR TUSD'!$N$51*'TR TUSD'!$N$60</f>
        <v>0</v>
      </c>
      <c r="O51" s="13">
        <f>'TR TUSD'!$O$51*'TR TUSD'!$O$60</f>
        <v>0</v>
      </c>
      <c r="P51" s="13">
        <f>'TR TUSD'!$P$51*'TR TUSD'!$P$60</f>
        <v>0</v>
      </c>
      <c r="Q51" s="13">
        <f>'TR TUSD'!$Q$51*'TR TUSD'!$Q$60</f>
        <v>53.987021107841692</v>
      </c>
      <c r="R51" s="13">
        <f>'TR TUSD'!$R$51*'TR TUSD'!$R$60</f>
        <v>8.5312595270658544</v>
      </c>
      <c r="S51" s="13">
        <f>'TR TUSD'!$S$51*'TR TUSD'!$S$60</f>
        <v>0</v>
      </c>
      <c r="T51" s="13">
        <f ca="1">SUM($L$51:$S$51)</f>
        <v>63.03669720775509</v>
      </c>
      <c r="U51" s="13">
        <f>'TR TUSD'!$U$51*'TR TUSD'!$U$60</f>
        <v>0</v>
      </c>
      <c r="V51" s="13">
        <f>'TR TUSD'!$V$51*'TR TUSD'!$V$60</f>
        <v>0</v>
      </c>
      <c r="W51" s="13">
        <f>'TR TUSD'!$W$51*'TR TUSD'!$W$60</f>
        <v>0</v>
      </c>
      <c r="X51" s="13">
        <f>'TR TUSD'!$X$51*'TR TUSD'!$X$60</f>
        <v>0</v>
      </c>
      <c r="Y51" s="13">
        <f>'TR TUSD'!$Y$51*'TR TUSD'!$Y$60</f>
        <v>59.812852246608742</v>
      </c>
      <c r="Z51" s="13">
        <f>'TR TUSD'!$Z$51</f>
        <v>0</v>
      </c>
      <c r="AA51" s="13">
        <f>'TR TUSD'!$AA$51</f>
        <v>0</v>
      </c>
      <c r="AB51" s="13">
        <f>SUM($U$51:$AA$51)</f>
        <v>59.812852246608742</v>
      </c>
      <c r="AC51" s="13">
        <f>'TR TUSD'!$AC$51*'TR TUSD'!$AC$60</f>
        <v>116.53179160436736</v>
      </c>
      <c r="AD51" s="13">
        <f>SUM($AC$51:$AC$51)</f>
        <v>116.53179160436736</v>
      </c>
      <c r="AE51" s="13">
        <v>0</v>
      </c>
      <c r="AF51" s="13">
        <v>0</v>
      </c>
      <c r="AG51" s="13">
        <f>SUM($AE$51:$AF$51)</f>
        <v>0</v>
      </c>
      <c r="AH51" s="13">
        <f>'TR TUSD'!$AH$51*'TR TUSD'!$AH$60</f>
        <v>10.151130412958366</v>
      </c>
      <c r="AI51" s="13">
        <f>'TR TUSD'!$AI$51*'TR TUSD'!$AI$60</f>
        <v>0</v>
      </c>
      <c r="AJ51" s="13">
        <f ca="1">'TR TUSD'!$AJ$51*'TR TUSD'!$AJ$60</f>
        <v>0</v>
      </c>
      <c r="AK51" s="13">
        <f ca="1">'TR TUSD'!$AK$51*'TR TUSD'!$AK$60</f>
        <v>0</v>
      </c>
      <c r="AL51" s="13">
        <f ca="1">SUM($AH$51:$AK$51)</f>
        <v>10.151130412958366</v>
      </c>
      <c r="AM51" s="13">
        <f ca="1">SUMIF($L$4:$AL$4,"SUBTOTAL",$L$51:$AL$51)</f>
        <v>249.53247147168955</v>
      </c>
      <c r="AP51" s="13">
        <f>IF((1 - CUSTOS!$M$33)&lt;&gt;0,1/(1 - CUSTOS!$M$33),1)</f>
        <v>1.6666666666666667</v>
      </c>
    </row>
    <row r="53" spans="1:42" ht="11.25" customHeight="1" x14ac:dyDescent="0.3">
      <c r="K53" s="16" t="s">
        <v>477</v>
      </c>
      <c r="L53" s="13">
        <f>SUMPRODUCT($I$5:$I51,$L$5:$L51)</f>
        <v>0</v>
      </c>
      <c r="M53" s="13">
        <f>SUMPRODUCT($I$5:$I51,$M$5:$M51)</f>
        <v>12857.088096908075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1447102.0752100004</v>
      </c>
      <c r="R53" s="13">
        <f>SUMPRODUCT($I$5:$I51,$R$5:$R51)</f>
        <v>254288.34072000007</v>
      </c>
      <c r="S53" s="13">
        <f>SUMPRODUCT($I$5:$I51,$S$5:$S51)</f>
        <v>0</v>
      </c>
      <c r="T53" s="13">
        <f ca="1">SUMPRODUCT($I$5:$I51,$T$5:$T51)</f>
        <v>1714247.5040269084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1881904.5259199997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1881904.5259199997</v>
      </c>
      <c r="AC53" s="13">
        <f>SUMPRODUCT($I$5:$I51,$AC$5:$AC51)</f>
        <v>2890068.6999999997</v>
      </c>
      <c r="AD53" s="13">
        <f>SUMPRODUCT($I$5:$I51,$AD$5:$AD51)</f>
        <v>2890068.6999999997</v>
      </c>
      <c r="AE53" s="13">
        <f>SUMPRODUCT($I$5:$I51,$AE$5:$AE51)</f>
        <v>0</v>
      </c>
      <c r="AF53" s="13">
        <f>SUMPRODUCT($I$5:$I51,$AF$5:$AF51)</f>
        <v>0</v>
      </c>
      <c r="AG53" s="13">
        <f>SUMPRODUCT($I$5:$I51,$AG$5:$AG51)</f>
        <v>0</v>
      </c>
      <c r="AH53" s="13">
        <f>SUMPRODUCT($I$5:$I51,$AH$5:$AH51)</f>
        <v>185892.3680564462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185892.3680564462</v>
      </c>
      <c r="AM53" s="13">
        <f ca="1">SUMPRODUCT($I$5:$I51,$AM$5:$AM51)</f>
        <v>6672113.0980033549</v>
      </c>
    </row>
    <row r="54" spans="1:42" ht="11.25" customHeight="1" x14ac:dyDescent="0.3">
      <c r="K54" s="16" t="s">
        <v>409</v>
      </c>
      <c r="L54" s="13">
        <f>'TR TUSD'!$L$56</f>
        <v>0</v>
      </c>
      <c r="M54" s="13">
        <f>'TR TUSD'!$M$56</f>
        <v>12857.088096908077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1447102.0752100002</v>
      </c>
      <c r="R54" s="13">
        <f>'TR TUSD'!$R$56</f>
        <v>254288.34072000007</v>
      </c>
      <c r="S54" s="13">
        <f>'TR TUSD'!$S$56</f>
        <v>0</v>
      </c>
      <c r="T54" s="13">
        <f>'TR TUSD'!$T$56</f>
        <v>1714247.5040269082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1881904.5259199997</v>
      </c>
      <c r="Z54" s="13">
        <f>'TR TUSD'!$Z$56</f>
        <v>0</v>
      </c>
      <c r="AA54" s="13">
        <f>'TR TUSD'!$AA$56</f>
        <v>0</v>
      </c>
      <c r="AB54" s="13">
        <f>'TR TUSD'!$AB$56</f>
        <v>1881904.5259199997</v>
      </c>
      <c r="AC54" s="13">
        <f>'TR TUSD'!$AC$56</f>
        <v>2890068.7</v>
      </c>
      <c r="AD54" s="13">
        <f>'TR TUSD'!$AD$56</f>
        <v>2890068.7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185892.36805644623</v>
      </c>
      <c r="AI54" s="13">
        <f>'TR TUSD'!$AI$56</f>
        <v>0</v>
      </c>
      <c r="AJ54" s="13">
        <f>'TR TUSD'!$AJ$56</f>
        <v>0</v>
      </c>
      <c r="AK54" s="13">
        <f>'TR TUSD'!$AK$56</f>
        <v>0</v>
      </c>
      <c r="AL54" s="13">
        <f>'TR TUSD'!$AL$56</f>
        <v>185892.36805644623</v>
      </c>
      <c r="AM54" s="13">
        <f>CUSTOS!$D$29</f>
        <v>6672113.0980033539</v>
      </c>
    </row>
    <row r="55" spans="1:42" ht="11.25" customHeight="1" x14ac:dyDescent="0.3">
      <c r="K55" s="16" t="s">
        <v>410</v>
      </c>
      <c r="L55" s="13">
        <f>CUSTOS!$E$2</f>
        <v>0</v>
      </c>
      <c r="M55" s="13">
        <f>CUSTOS!$E$3</f>
        <v>-1049.8958455291686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-95422.930034866673</v>
      </c>
      <c r="R55" s="13">
        <f>CUSTOS!$E$8</f>
        <v>-17322.630753886519</v>
      </c>
      <c r="S55" s="13">
        <f>CUSTOS!$E$9</f>
        <v>0</v>
      </c>
      <c r="T55" s="13">
        <f>CUSTOS!$E$10</f>
        <v>-113795.45663428237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31119.052103736372</v>
      </c>
      <c r="Z55" s="13">
        <f>CUSTOS!$E$16</f>
        <v>0</v>
      </c>
      <c r="AA55" s="13">
        <f>CUSTOS!$E$17</f>
        <v>0</v>
      </c>
      <c r="AB55" s="13">
        <f>CUSTOS!$E$18</f>
        <v>31119.052103736372</v>
      </c>
      <c r="AC55" s="13">
        <f>CUSTOS!$E$19</f>
        <v>-1494125.1525960967</v>
      </c>
      <c r="AD55" s="13">
        <f>CUSTOS!$E$20</f>
        <v>-1494125.1525960967</v>
      </c>
      <c r="AE55" s="13">
        <f>CUSTOS!$E$21</f>
        <v>0</v>
      </c>
      <c r="AF55" s="13">
        <f>CUSTOS!$E$22</f>
        <v>0</v>
      </c>
      <c r="AG55" s="13">
        <f>CUSTOS!$E$23</f>
        <v>0</v>
      </c>
      <c r="AH55" s="13">
        <f>CUSTOS!$E$24</f>
        <v>13331.837922066195</v>
      </c>
      <c r="AI55" s="13">
        <f>CUSTOS!$E$25</f>
        <v>0</v>
      </c>
      <c r="AJ55" s="13">
        <f>CUSTOS!$E$26</f>
        <v>0</v>
      </c>
      <c r="AK55" s="13">
        <f>CUSTOS!$E$27</f>
        <v>0</v>
      </c>
      <c r="AL55" s="13">
        <f>CUSTOS!$E$28</f>
        <v>13331.837922066195</v>
      </c>
      <c r="AM55" s="13">
        <f>CUSTOS!$E$29</f>
        <v>-1563469.7192045765</v>
      </c>
    </row>
    <row r="56" spans="1:42" ht="11.25" customHeight="1" x14ac:dyDescent="0.3">
      <c r="K56" s="16" t="s">
        <v>411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3">
      <c r="K57" s="16" t="s">
        <v>474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f>SUM($L$57:$S$57)</f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f>SUM($U$57:$AA$57)</f>
        <v>0</v>
      </c>
      <c r="AC57" s="13">
        <v>0</v>
      </c>
      <c r="AD57" s="13">
        <f>SUM($AC$57:$AC$57)</f>
        <v>0</v>
      </c>
      <c r="AE57" s="13">
        <v>0</v>
      </c>
      <c r="AF57" s="13">
        <v>0</v>
      </c>
      <c r="AG57" s="13">
        <f>SUM($AE$57:$AF$57)</f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f>SUM($AH$57:$AK$57)</f>
        <v>0</v>
      </c>
      <c r="AM57" s="13">
        <f>SUMIF($L$4:$AL$4,"SUBTOTAL",$L$57:$AL$57)</f>
        <v>0</v>
      </c>
    </row>
    <row r="58" spans="1:42" ht="11.25" customHeight="1" x14ac:dyDescent="0.3">
      <c r="K58" s="16" t="s">
        <v>478</v>
      </c>
      <c r="L58" s="13">
        <f t="shared" ref="L58:R58" si="0">IF((L53-(0))&lt;&gt;0,(L55)/(L53-(0)),0)</f>
        <v>0</v>
      </c>
      <c r="M58" s="13">
        <f t="shared" si="0"/>
        <v>-8.1658913559257001E-2</v>
      </c>
      <c r="N58" s="13">
        <f t="shared" ca="1" si="0"/>
        <v>0</v>
      </c>
      <c r="O58" s="13">
        <f t="shared" si="0"/>
        <v>0</v>
      </c>
      <c r="P58" s="13">
        <f t="shared" si="0"/>
        <v>0</v>
      </c>
      <c r="Q58" s="13">
        <f t="shared" si="0"/>
        <v>-6.5940704301055683E-2</v>
      </c>
      <c r="R58" s="13">
        <f t="shared" si="0"/>
        <v>-6.8122001601955764E-2</v>
      </c>
      <c r="S58" s="13">
        <f>IF((R53-(0)&lt;&gt;0),(S55)/(R53-(0)),0)</f>
        <v>0</v>
      </c>
      <c r="T58" s="13"/>
      <c r="U58" s="13">
        <f t="shared" ref="U58:AA58" si="1">IF((U53-(0))&lt;&gt;0,(U55)/(U53-(0)),0)</f>
        <v>0</v>
      </c>
      <c r="V58" s="13">
        <f t="shared" si="1"/>
        <v>0</v>
      </c>
      <c r="W58" s="13">
        <f t="shared" si="1"/>
        <v>0</v>
      </c>
      <c r="X58" s="13">
        <f t="shared" si="1"/>
        <v>0</v>
      </c>
      <c r="Y58" s="13">
        <f t="shared" si="1"/>
        <v>1.6535935630700136E-2</v>
      </c>
      <c r="Z58" s="13">
        <f t="shared" si="1"/>
        <v>0</v>
      </c>
      <c r="AA58" s="13">
        <f t="shared" si="1"/>
        <v>0</v>
      </c>
      <c r="AB58" s="13"/>
      <c r="AC58" s="13">
        <f>IF((AC53-(0))&lt;&gt;0,(AC55)/(AC53-(0)),0)</f>
        <v>-0.51698603309883151</v>
      </c>
      <c r="AD58" s="13"/>
      <c r="AE58" s="13">
        <f ca="1">IF(($AM53-(0))&lt;&gt;0,(AE55)/($AM53-(0)),0)</f>
        <v>0</v>
      </c>
      <c r="AF58" s="13">
        <f ca="1">IF(($AM53-(0))&lt;&gt;0,(AF55)/($AM53-(0)),0)</f>
        <v>0</v>
      </c>
      <c r="AG58" s="13"/>
      <c r="AH58" s="13">
        <f>IF((AH53-(0))&lt;&gt;0,(AH55)/(AH53-(0)),0)</f>
        <v>7.171804879056673E-2</v>
      </c>
      <c r="AI58" s="13">
        <f>IF((AI53-(0))&lt;&gt;0,(AI55)/(AI53-(0)),0)</f>
        <v>0</v>
      </c>
      <c r="AJ58" s="13">
        <f ca="1">IF((AJ53-(0))&lt;&gt;0,(AJ55)/(AJ53-(0)),0)</f>
        <v>0</v>
      </c>
      <c r="AK58" s="13">
        <f ca="1">IF((AK53-(0))&lt;&gt;0,(AK55)/(AK53-(0)),0)</f>
        <v>0</v>
      </c>
      <c r="AL58" s="13"/>
      <c r="AM58" s="13"/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conditionalFormatting sqref="L53">
    <cfRule type="cellIs" dxfId="792" priority="55" operator="notEqual">
      <formula>$L$54-$L$57</formula>
    </cfRule>
    <cfRule type="cellIs" dxfId="791" priority="56" operator="equal">
      <formula>$L$54-$L$57</formula>
    </cfRule>
  </conditionalFormatting>
  <conditionalFormatting sqref="M53">
    <cfRule type="cellIs" dxfId="790" priority="53" operator="notEqual">
      <formula>$M$54-$M$57</formula>
    </cfRule>
    <cfRule type="cellIs" dxfId="789" priority="54" operator="equal">
      <formula>$M$54-$M$57</formula>
    </cfRule>
  </conditionalFormatting>
  <conditionalFormatting sqref="N53">
    <cfRule type="cellIs" dxfId="788" priority="51" operator="notEqual">
      <formula>$N$54-$N$57</formula>
    </cfRule>
    <cfRule type="cellIs" dxfId="787" priority="52" operator="equal">
      <formula>$N$54-$N$57</formula>
    </cfRule>
  </conditionalFormatting>
  <conditionalFormatting sqref="O53">
    <cfRule type="cellIs" dxfId="786" priority="49" operator="notEqual">
      <formula>$O$54-$O$57</formula>
    </cfRule>
    <cfRule type="cellIs" dxfId="785" priority="50" operator="equal">
      <formula>$O$54-$O$57</formula>
    </cfRule>
  </conditionalFormatting>
  <conditionalFormatting sqref="P53">
    <cfRule type="cellIs" dxfId="784" priority="47" operator="notEqual">
      <formula>$P$54-$P$57</formula>
    </cfRule>
    <cfRule type="cellIs" dxfId="783" priority="48" operator="equal">
      <formula>$P$54-$P$57</formula>
    </cfRule>
  </conditionalFormatting>
  <conditionalFormatting sqref="Q53">
    <cfRule type="cellIs" dxfId="782" priority="45" operator="notEqual">
      <formula>$Q$54-$Q$57</formula>
    </cfRule>
    <cfRule type="cellIs" dxfId="781" priority="46" operator="equal">
      <formula>$Q$54-$Q$57</formula>
    </cfRule>
  </conditionalFormatting>
  <conditionalFormatting sqref="R53">
    <cfRule type="cellIs" dxfId="780" priority="43" operator="notEqual">
      <formula>$R$54-$R$57</formula>
    </cfRule>
    <cfRule type="cellIs" dxfId="779" priority="44" operator="equal">
      <formula>$R$54-$R$57</formula>
    </cfRule>
  </conditionalFormatting>
  <conditionalFormatting sqref="S53">
    <cfRule type="cellIs" dxfId="778" priority="41" operator="notEqual">
      <formula>$S$54-$S$57</formula>
    </cfRule>
    <cfRule type="cellIs" dxfId="777" priority="42" operator="equal">
      <formula>$S$54-$S$57</formula>
    </cfRule>
  </conditionalFormatting>
  <conditionalFormatting sqref="T53">
    <cfRule type="cellIs" dxfId="776" priority="39" operator="notEqual">
      <formula>$T$54-$T$57</formula>
    </cfRule>
    <cfRule type="cellIs" dxfId="775" priority="40" operator="equal">
      <formula>$T$54-$T$57</formula>
    </cfRule>
  </conditionalFormatting>
  <conditionalFormatting sqref="U53">
    <cfRule type="cellIs" dxfId="774" priority="37" operator="notEqual">
      <formula>$U$54-$U$57</formula>
    </cfRule>
    <cfRule type="cellIs" dxfId="773" priority="38" operator="equal">
      <formula>$U$54-$U$57</formula>
    </cfRule>
  </conditionalFormatting>
  <conditionalFormatting sqref="V53">
    <cfRule type="cellIs" dxfId="772" priority="35" operator="notEqual">
      <formula>$V$54-$V$57</formula>
    </cfRule>
    <cfRule type="cellIs" dxfId="771" priority="36" operator="equal">
      <formula>$V$54-$V$57</formula>
    </cfRule>
  </conditionalFormatting>
  <conditionalFormatting sqref="W53">
    <cfRule type="cellIs" dxfId="770" priority="33" operator="notEqual">
      <formula>$W$54-$W$57</formula>
    </cfRule>
    <cfRule type="cellIs" dxfId="769" priority="34" operator="equal">
      <formula>$W$54-$W$57</formula>
    </cfRule>
  </conditionalFormatting>
  <conditionalFormatting sqref="X53">
    <cfRule type="cellIs" dxfId="768" priority="31" operator="notEqual">
      <formula>$X$54-$X$57</formula>
    </cfRule>
    <cfRule type="cellIs" dxfId="767" priority="32" operator="equal">
      <formula>$X$54-$X$57</formula>
    </cfRule>
  </conditionalFormatting>
  <conditionalFormatting sqref="Y53">
    <cfRule type="cellIs" dxfId="766" priority="29" operator="notEqual">
      <formula>$Y$54-$Y$57</formula>
    </cfRule>
    <cfRule type="cellIs" dxfId="765" priority="30" operator="equal">
      <formula>$Y$54-$Y$57</formula>
    </cfRule>
  </conditionalFormatting>
  <conditionalFormatting sqref="Z53">
    <cfRule type="cellIs" dxfId="764" priority="27" operator="notEqual">
      <formula>$Z$54-$Z$57</formula>
    </cfRule>
    <cfRule type="cellIs" dxfId="763" priority="28" operator="equal">
      <formula>$Z$54-$Z$57</formula>
    </cfRule>
  </conditionalFormatting>
  <conditionalFormatting sqref="AA53">
    <cfRule type="cellIs" dxfId="762" priority="25" operator="notEqual">
      <formula>$AA$54-$AA$57</formula>
    </cfRule>
    <cfRule type="cellIs" dxfId="761" priority="26" operator="equal">
      <formula>$AA$54-$AA$57</formula>
    </cfRule>
  </conditionalFormatting>
  <conditionalFormatting sqref="AB53">
    <cfRule type="cellIs" dxfId="760" priority="23" operator="notEqual">
      <formula>$AB$54-$AB$57</formula>
    </cfRule>
    <cfRule type="cellIs" dxfId="759" priority="24" operator="equal">
      <formula>$AB$54-$AB$57</formula>
    </cfRule>
  </conditionalFormatting>
  <conditionalFormatting sqref="AC53">
    <cfRule type="cellIs" dxfId="758" priority="21" operator="notEqual">
      <formula>$AC$54-$AC$57</formula>
    </cfRule>
    <cfRule type="cellIs" dxfId="757" priority="22" operator="equal">
      <formula>$AC$54-$AC$57</formula>
    </cfRule>
  </conditionalFormatting>
  <conditionalFormatting sqref="AD53">
    <cfRule type="cellIs" dxfId="756" priority="19" operator="notEqual">
      <formula>$AD$54-$AD$57</formula>
    </cfRule>
    <cfRule type="cellIs" dxfId="755" priority="20" operator="equal">
      <formula>$AD$54-$AD$57</formula>
    </cfRule>
  </conditionalFormatting>
  <conditionalFormatting sqref="AE53">
    <cfRule type="cellIs" dxfId="754" priority="17" operator="notEqual">
      <formula>$AE$54-$AE$57</formula>
    </cfRule>
    <cfRule type="cellIs" dxfId="753" priority="18" operator="equal">
      <formula>$AE$54-$AE$57</formula>
    </cfRule>
  </conditionalFormatting>
  <conditionalFormatting sqref="AF53">
    <cfRule type="cellIs" dxfId="752" priority="16" operator="equal">
      <formula>$AF$54-$AF$57</formula>
    </cfRule>
  </conditionalFormatting>
  <conditionalFormatting sqref="AF53">
    <cfRule type="cellIs" dxfId="751" priority="15" operator="notEqual">
      <formula>$AF$54-$AF$57</formula>
    </cfRule>
  </conditionalFormatting>
  <conditionalFormatting sqref="AG53">
    <cfRule type="cellIs" dxfId="750" priority="14" operator="equal">
      <formula>$AG$54-$AG$57</formula>
    </cfRule>
  </conditionalFormatting>
  <conditionalFormatting sqref="AG53">
    <cfRule type="cellIs" dxfId="749" priority="13" operator="notEqual">
      <formula>$AG$54-$AG$57</formula>
    </cfRule>
  </conditionalFormatting>
  <conditionalFormatting sqref="AH53">
    <cfRule type="cellIs" dxfId="748" priority="12" operator="equal">
      <formula>$AH$54-$AH$57</formula>
    </cfRule>
  </conditionalFormatting>
  <conditionalFormatting sqref="AH53">
    <cfRule type="cellIs" dxfId="747" priority="11" operator="notEqual">
      <formula>$AH$54-$AH$57</formula>
    </cfRule>
  </conditionalFormatting>
  <conditionalFormatting sqref="AI53">
    <cfRule type="cellIs" dxfId="746" priority="10" operator="equal">
      <formula>$AI$54-$AI$57</formula>
    </cfRule>
  </conditionalFormatting>
  <conditionalFormatting sqref="AI53">
    <cfRule type="cellIs" dxfId="745" priority="9" operator="notEqual">
      <formula>$AI$54-$AI$57</formula>
    </cfRule>
  </conditionalFormatting>
  <conditionalFormatting sqref="AJ53">
    <cfRule type="cellIs" dxfId="744" priority="8" operator="equal">
      <formula>$AJ$54-$AJ$57</formula>
    </cfRule>
  </conditionalFormatting>
  <conditionalFormatting sqref="AJ53">
    <cfRule type="cellIs" dxfId="743" priority="7" operator="notEqual">
      <formula>$AJ$54-$AJ$57</formula>
    </cfRule>
  </conditionalFormatting>
  <conditionalFormatting sqref="AK53">
    <cfRule type="cellIs" dxfId="742" priority="6" operator="equal">
      <formula>$AK$54-$AK$57</formula>
    </cfRule>
  </conditionalFormatting>
  <conditionalFormatting sqref="AK53">
    <cfRule type="cellIs" dxfId="741" priority="5" operator="notEqual">
      <formula>$AK$54-$AK$57</formula>
    </cfRule>
  </conditionalFormatting>
  <conditionalFormatting sqref="AL53">
    <cfRule type="cellIs" dxfId="740" priority="4" operator="equal">
      <formula>$AL$54-$AL$57</formula>
    </cfRule>
  </conditionalFormatting>
  <conditionalFormatting sqref="AL53">
    <cfRule type="cellIs" dxfId="739" priority="3" operator="notEqual">
      <formula>$AL$54-$AL$57</formula>
    </cfRule>
  </conditionalFormatting>
  <conditionalFormatting sqref="AM53">
    <cfRule type="cellIs" dxfId="738" priority="2" operator="equal">
      <formula>$AM$54-$AM$57</formula>
    </cfRule>
  </conditionalFormatting>
  <conditionalFormatting sqref="AM53">
    <cfRule type="cellIs" dxfId="737" priority="1" operator="notEqual">
      <formula>$AM$54-$AM$57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Mercado_Receita</vt:lpstr>
      <vt:lpstr>EVENTOS</vt:lpstr>
      <vt:lpstr>TAR FIN</vt:lpstr>
      <vt:lpstr>MERCADO TUSD</vt:lpstr>
      <vt:lpstr>MERCADO TE</vt:lpstr>
      <vt:lpstr>CUSTOS</vt:lpstr>
      <vt:lpstr>TRANSICAO</vt:lpstr>
      <vt:lpstr>TR TUSD</vt:lpstr>
      <vt:lpstr>TUSD BE</vt:lpstr>
      <vt:lpstr>TUSD BF</vt:lpstr>
      <vt:lpstr>TUSD CVA</vt:lpstr>
      <vt:lpstr>TR TE</vt:lpstr>
      <vt:lpstr>TE BE</vt:lpstr>
      <vt:lpstr>TE BF</vt:lpstr>
      <vt:lpstr>TE CVA</vt:lpstr>
      <vt:lpstr>EFEITO</vt:lpstr>
      <vt:lpstr>SUBSIDIO</vt:lpstr>
      <vt:lpstr>TabDinEfeito</vt:lpstr>
      <vt:lpstr>TabDinSubsidio</vt:lpstr>
      <vt:lpstr>TABELAS REH</vt:lpstr>
      <vt:lpstr>CONSISTENCIA</vt:lpstr>
      <vt:lpstr>TUSD</vt:lpstr>
      <vt:lpstr>TE</vt:lpstr>
      <vt:lpstr>RESUMO TUSD</vt:lpstr>
      <vt:lpstr>RESUMO TE</vt:lpstr>
      <vt:lpstr>Descontos</vt:lpstr>
      <vt:lpstr>ERD</vt:lpstr>
      <vt:lpstr>TA - Aplicação</vt:lpstr>
      <vt:lpstr>TA - BE</vt:lpstr>
      <vt:lpstr>TA - CVA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2022-09-12T18:25:22Z</dcterms:created>
  <dcterms:modified xsi:type="dcterms:W3CDTF">2022-09-15T18:49:52Z</dcterms:modified>
</cp:coreProperties>
</file>